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1d037b81e4f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olo fido" sheetId="1" r:id="R52edc12629e446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€ #,##0.00"/>
    <x:numFmt numFmtId="201" formatCode="0.00%"/>
    <x:numFmt numFmtId="202" formatCode="0"/>
  </x:numFmts>
  <x:fonts count="10">
    <x:font>
      <x:sz val="11"/>
      <x:name val="Carlito"/>
    </x:font>
    <x:font>
      <x:b/>
      <x:sz val="16"/>
      <x:color rgb="FF102A43"/>
      <x:name val="Arial"/>
    </x:font>
    <x:font>
      <x:i/>
      <x:sz val="10"/>
      <x:color rgb="FF66788A"/>
      <x:name val="Arial"/>
    </x:font>
    <x:font>
      <x:b/>
      <x:sz val="11"/>
      <x:color rgb="FF102A43"/>
      <x:name val="Arial"/>
    </x:font>
    <x:font>
      <x:b/>
      <x:sz val="13"/>
      <x:color rgb="FF102A43"/>
      <x:name val="Arial"/>
    </x:font>
    <x:font>
      <x:b/>
      <x:sz val="11"/>
      <x:color rgb="FFFFFFFF"/>
      <x:name val="Arial"/>
    </x:font>
    <x:font>
      <x:sz val="11"/>
      <x:color rgb="FF102A43"/>
      <x:name val="Arial"/>
    </x:font>
    <x:font>
      <x:sz val="10"/>
      <x:color rgb="FF102A43"/>
      <x:name val="Arial"/>
    </x:font>
    <x:font>
      <x:sz val="10"/>
      <x:color rgb="FF66788A"/>
      <x:name val="Arial"/>
    </x:font>
    <x:font>
      <x:sz val="9"/>
      <x:color rgb="FF66788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4CC"/>
      </x:patternFill>
    </x:fill>
    <x:fill>
      <x:patternFill patternType="solid">
        <x:fgColor rgb="FF0B5ED7"/>
      </x:patternFill>
    </x:fill>
    <x:fill>
      <x:patternFill patternType="solid">
        <x:fgColor rgb="FF102A43"/>
      </x:patternFill>
    </x:fill>
    <x:fill>
      <x:patternFill patternType="solid">
        <x:fgColor rgb="FFEAF2FF"/>
      </x:patternFill>
    </x:fill>
  </x:fills>
  <x:borders count="9">
    <x:border/>
    <x:border>
      <x:left style="thin">
        <x:color rgb="FFD7E0EA"/>
      </x:left>
      <x:top style="thin">
        <x:color rgb="FFD7E0EA"/>
      </x:top>
    </x:border>
    <x:border>
      <x:right style="thin">
        <x:color rgb="FFD7E0EA"/>
      </x:right>
      <x:top style="thin">
        <x:color rgb="FFD7E0EA"/>
      </x:top>
    </x:border>
    <x:border>
      <x:left style="thin">
        <x:color rgb="FFD7E0EA"/>
      </x:left>
    </x:border>
    <x:border>
      <x:right style="thin">
        <x:color rgb="FFD7E0EA"/>
      </x:right>
    </x:border>
    <x:border>
      <x:left style="thin">
        <x:color rgb="FFD7E0EA"/>
      </x:left>
      <x:bottom style="thin">
        <x:color rgb="FFD7E0EA"/>
      </x:bottom>
    </x:border>
    <x:border>
      <x:right style="thin">
        <x:color rgb="FFD7E0EA"/>
      </x:right>
      <x:bottom style="thin">
        <x:color rgb="FFD7E0EA"/>
      </x:bottom>
    </x:border>
    <x:border>
      <x:bottom style="thin">
        <x:color rgb="FFD7E0EA"/>
      </x:bottom>
    </x:border>
    <x:border>
      <x:top style="thin">
        <x:color rgb="FFD7E0EA"/>
      </x:top>
      <x:bottom style="thin">
        <x:color rgb="FFD7E0EA"/>
      </x:bottom>
    </x:border>
  </x:borders>
  <x:cellStyleXfs count="1">
    <x:xf numFmtId="0" fontId="0" fillId="0" borderId="0"/>
  </x:cellStyleXfs>
  <x:cellXfs count="7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200" fontId="0" fillId="2" borderId="0" xfId="0" applyNumberFormat="1" applyFont="1" applyFill="1" applyBorder="1"/>
    <x:xf numFmtId="201" fontId="0" fillId="2" borderId="0" xfId="0" applyNumberFormat="1" applyFont="1" applyFill="1" applyBorder="1"/>
    <x:xf numFmtId="202" fontId="0" fillId="2" borderId="0" xfId="0" applyNumberFormat="1" applyFont="1" applyFill="1" applyBorder="1"/>
    <x:xf numFmtId="200" fontId="0" fillId="0" borderId="0" xfId="0" applyNumberFormat="1" applyFont="1" applyFill="1" applyBorder="1"/>
    <x:xf numFmtId="20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horizont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horizont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horizont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200" fontId="6" fillId="0" borderId="0" xfId="0" applyNumberFormat="1" applyFont="1" applyFill="1" applyBorder="1"/>
    <x:xf numFmtId="0" fontId="7" fillId="0" borderId="0" xfId="0" applyNumberFormat="1" applyFont="1" applyFill="1" applyBorder="1"/>
    <x:xf numFmtId="200" fontId="7" fillId="0" borderId="0" xfId="0" applyNumberFormat="1" applyFont="1" applyFill="1" applyBorder="1"/>
    <x:xf numFmtId="0" fontId="5" fillId="3" borderId="1" xfId="0" applyNumberFormat="1" applyFont="1" applyFill="1" applyBorder="1" applyAlignment="1">
      <x:alignment horizontal="center" vertical="center"/>
    </x:xf>
    <x:xf numFmtId="0" fontId="5" fillId="3" borderId="2" xfId="0" applyNumberFormat="1" applyFont="1" applyFill="1" applyBorder="1" applyAlignment="1">
      <x:alignment horizontal="center" vertical="center"/>
    </x:xf>
    <x:xf numFmtId="0" fontId="6" fillId="0" borderId="3" xfId="0" applyNumberFormat="1" applyFont="1" applyFill="1" applyBorder="1"/>
    <x:xf numFmtId="200" fontId="0" fillId="2" borderId="4" xfId="0" applyNumberFormat="1" applyFont="1" applyFill="1" applyBorder="1"/>
    <x:xf numFmtId="201" fontId="0" fillId="2" borderId="4" xfId="0" applyNumberFormat="1" applyFont="1" applyFill="1" applyBorder="1"/>
    <x:xf numFmtId="202" fontId="0" fillId="2" borderId="4" xfId="0" applyNumberFormat="1" applyFont="1" applyFill="1" applyBorder="1"/>
    <x:xf numFmtId="0" fontId="6" fillId="0" borderId="5" xfId="0" applyNumberFormat="1" applyFont="1" applyFill="1" applyBorder="1"/>
    <x:xf numFmtId="0" fontId="0" fillId="2" borderId="6" xfId="0" applyNumberFormat="1" applyFont="1" applyFill="1" applyBorder="1"/>
    <x:xf numFmtId="0" fontId="5" fillId="4" borderId="1" xfId="0" applyNumberFormat="1" applyFont="1" applyFill="1" applyBorder="1" applyAlignment="1">
      <x:alignment horizontal="center" vertical="center"/>
    </x:xf>
    <x:xf numFmtId="0" fontId="5" fillId="4" borderId="2" xfId="0" applyNumberFormat="1" applyFont="1" applyFill="1" applyBorder="1" applyAlignment="1">
      <x:alignment horizontal="center" vertical="center"/>
    </x:xf>
    <x:xf numFmtId="200" fontId="0" fillId="0" borderId="4" xfId="0" applyNumberFormat="1" applyFont="1" applyFill="1" applyBorder="1"/>
    <x:xf numFmtId="200" fontId="3" fillId="0" borderId="4" xfId="0" applyNumberFormat="1" applyFont="1" applyFill="1" applyBorder="1"/>
    <x:xf numFmtId="0" fontId="0" fillId="0" borderId="4" xfId="0" applyNumberFormat="1" applyFont="1" applyFill="1" applyBorder="1"/>
    <x:xf numFmtId="200" fontId="6" fillId="0" borderId="5" xfId="0" applyNumberFormat="1" applyFont="1" applyFill="1" applyBorder="1"/>
    <x:xf numFmtId="200" fontId="0" fillId="0" borderId="6" xfId="0" applyNumberFormat="1" applyFont="1" applyFill="1" applyBorder="1"/>
    <x:xf numFmtId="0" fontId="5" fillId="4" borderId="7" xfId="0" applyNumberFormat="1" applyFont="1" applyFill="1" applyBorder="1" applyAlignment="1">
      <x:alignment horizontal="center" vertical="center" wrapText="1"/>
    </x:xf>
    <x:xf numFmtId="0" fontId="7" fillId="0" borderId="8" xfId="0" applyNumberFormat="1" applyFont="1" applyFill="1" applyBorder="1"/>
    <x:xf numFmtId="200" fontId="7" fillId="0" borderId="8" xfId="0" applyNumberFormat="1" applyFont="1" applyFill="1" applyBorder="1"/>
    <x:xf numFmtId="0" fontId="6" fillId="5" borderId="3" xfId="0" applyNumberFormat="1" applyFont="1" applyFill="1" applyBorder="1"/>
    <x:xf numFmtId="200" fontId="3" fillId="5" borderId="4" xfId="0" applyNumberFormat="1" applyFont="1" applyFill="1" applyBorder="1"/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6" fillId="0" borderId="3" xfId="0" applyNumberFormat="1" applyFont="1" applyFill="1" applyBorder="1" applyAlignment="1">
      <x:alignment vertical="center"/>
    </x:xf>
    <x:xf numFmtId="200" fontId="0" fillId="2" borderId="4" xfId="0" applyNumberFormat="1" applyFont="1" applyFill="1" applyBorder="1" applyAlignment="1">
      <x:alignment vertical="center"/>
    </x:xf>
    <x:xf numFmtId="200" fontId="0" fillId="0" borderId="4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1"/>
    </x:xf>
    <x:xf numFmtId="201" fontId="0" fillId="2" borderId="4" xfId="0" applyNumberFormat="1" applyFont="1" applyFill="1" applyBorder="1" applyAlignment="1">
      <x:alignment vertical="center"/>
    </x:xf>
    <x:xf numFmtId="202" fontId="0" fillId="2" borderId="4" xfId="0" applyNumberFormat="1" applyFont="1" applyFill="1" applyBorder="1" applyAlignment="1">
      <x:alignment vertical="center"/>
    </x:xf>
    <x:xf numFmtId="0" fontId="6" fillId="5" borderId="3" xfId="0" applyNumberFormat="1" applyFont="1" applyFill="1" applyBorder="1" applyAlignment="1">
      <x:alignment vertical="center"/>
    </x:xf>
    <x:xf numFmtId="200" fontId="3" fillId="5" borderId="4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 applyAlignment="1">
      <x:alignment vertical="center"/>
    </x:xf>
    <x:xf numFmtId="200" fontId="6" fillId="0" borderId="5" xfId="0" applyNumberFormat="1" applyFont="1" applyFill="1" applyBorder="1" applyAlignment="1">
      <x:alignment vertical="center"/>
    </x:xf>
    <x:xf numFmtId="200" fontId="0" fillId="0" borderId="6" xfId="0" applyNumberFormat="1" applyFont="1" applyFill="1" applyBorder="1" applyAlignment="1">
      <x:alignment vertical="center"/>
    </x:xf>
    <x:xf numFmtId="0" fontId="6" fillId="0" borderId="5" xfId="0" applyNumberFormat="1" applyFont="1" applyFill="1" applyBorder="1" applyAlignment="1">
      <x:alignment vertical="center"/>
    </x:xf>
    <x:xf numFmtId="0" fontId="0" fillId="2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7" fillId="0" borderId="8" xfId="0" applyNumberFormat="1" applyFont="1" applyFill="1" applyBorder="1" applyAlignment="1">
      <x:alignment vertical="center"/>
    </x:xf>
    <x:xf numFmtId="200" fontId="7" fillId="0" borderId="8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f8ea38811c4ca0" /><Relationship Type="http://schemas.openxmlformats.org/officeDocument/2006/relationships/theme" Target="/xl/theme/theme1.xml" Id="Raa6001a3b1284392" /><Relationship Type="http://schemas.openxmlformats.org/officeDocument/2006/relationships/sharedStrings" Target="/xl/sharedStrings.xml" Id="R9c2bb5ce7db54f55" /><Relationship Type="http://schemas.openxmlformats.org/officeDocument/2006/relationships/worksheet" Target="/xl/worksheets/sheet1.xml" Id="R52edc12629e446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5ED7"/>
  </x:sheetPr>
  <x:sheetViews>
    <x:sheetView showGridLines="0" workbookViewId="0">
      <x:pane ySplit="22" topLeftCell="A23" activePane="bottomLeft" state="frozen"/>
    </x:sheetView>
  </x:sheetViews>
  <x:sheetFormatPr defaultRowHeight="15"/>
  <x:cols>
    <x:col min="1" max="1" width="8" hidden="0" customWidth="1"/>
    <x:col min="2" max="2" width="27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3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>
      <x:c r="A1" s="52"/>
      <x:c r="B1" s="52"/>
      <x:c r="C1" s="52"/>
      <x:c r="D1" s="52"/>
      <x:c r="E1" s="52"/>
      <x:c r="F1" s="52"/>
      <x:c r="G1" s="52"/>
      <x:c r="H1" s="52"/>
      <x:c r="I1" s="52"/>
      <x:c r="J1" s="52"/>
      <x:c r="K1" s="52"/>
    </x:row>
    <x:row r="2">
      <x:c r="A2" s="52"/>
      <x:c r="B2" s="2" t="str">
        <x:v>Calcolatore fido bancario</x:v>
      </x:c>
      <x:c r="C2" s="52"/>
      <x:c r="D2" s="52"/>
      <x:c r="E2" s="52"/>
      <x:c r="F2" s="52"/>
      <x:c r="G2" s="52"/>
      <x:c r="H2" s="52"/>
      <x:c r="I2" s="52"/>
      <x:c r="J2" s="52"/>
      <x:c r="K2" s="52"/>
    </x:row>
    <x:row r="3">
      <x:c r="A3" s="52"/>
      <x:c r="B3" s="53" t="str">
        <x:v>Modifica le celle gialle. I risultati e il piano mensile si aggiornano con formule Excel.</x:v>
      </x:c>
      <x:c r="C3" s="52"/>
      <x:c r="D3" s="52"/>
      <x:c r="E3" s="52"/>
      <x:c r="F3" s="52"/>
      <x:c r="G3" s="52"/>
      <x:c r="H3" s="52"/>
      <x:c r="I3" s="52"/>
      <x:c r="J3" s="52"/>
      <x:c r="K3" s="52"/>
    </x:row>
    <x:row r="4">
      <x:c r="A4" s="52"/>
      <x:c r="B4" s="52"/>
      <x:c r="C4" s="52"/>
      <x:c r="D4" s="52"/>
      <x:c r="E4" s="52"/>
      <x:c r="F4" s="52"/>
      <x:c r="G4" s="52"/>
      <x:c r="H4" s="52"/>
      <x:c r="I4" s="52"/>
      <x:c r="J4" s="52"/>
      <x:c r="K4" s="52"/>
    </x:row>
    <x:row r="5">
      <x:c r="A5" s="52"/>
      <x:c r="B5" s="26" t="str">
        <x:v>Dati dello scenario</x:v>
      </x:c>
      <x:c r="C5" s="27" t="str">
        <x:v>Valore</x:v>
      </x:c>
      <x:c r="D5" s="52"/>
      <x:c r="E5" s="34" t="str">
        <x:v>Risultati</x:v>
      </x:c>
      <x:c r="F5" s="35" t="str">
        <x:v>Importo</x:v>
      </x:c>
      <x:c r="G5" s="52"/>
      <x:c r="H5" s="52"/>
      <x:c r="I5" s="52" t="str">
        <x:v>Note di utilizzo</x:v>
      </x:c>
      <x:c r="J5" s="52"/>
      <x:c r="K5" s="52"/>
    </x:row>
    <x:row r="6" ht="28" customHeight="1">
      <x:c r="A6" s="52"/>
      <x:c r="B6" s="54" t="str">
        <x:v>Fido accordato</x:v>
      </x:c>
      <x:c r="C6" s="55" t="n">
        <x:v>20000</x:v>
      </x:c>
      <x:c r="D6" s="52"/>
      <x:c r="E6" s="54" t="str">
        <x:v>Capitale da restituire</x:v>
      </x:c>
      <x:c r="F6" s="56" t="n">
        <x:f>C7+C8</x:f>
        <x:v>12000</x:v>
      </x:c>
      <x:c r="G6" s="52"/>
      <x:c r="H6" s="52"/>
      <x:c r="I6" s="57" t="str">
        <x:v>Gli interessi sono calcolati mensilmente sul debito residuo. La commissione è applicata al fido accordato e rapportata ai mesi di disponibilità. Il file produce una stima informativa e non sostituisce il conteggio ufficiale della banca.</x:v>
      </x:c>
      <x:c r="J6" s="52"/>
      <x:c r="K6" s="52"/>
    </x:row>
    <x:row r="7" ht="28" customHeight="1">
      <x:c r="A7" s="52"/>
      <x:c r="B7" s="54" t="str">
        <x:v>Importo utilizzato entro fido</x:v>
      </x:c>
      <x:c r="C7" s="55" t="n">
        <x:v>12000</x:v>
      </x:c>
      <x:c r="D7" s="52"/>
      <x:c r="E7" s="54" t="str">
        <x:v>Interessi stimati</x:v>
      </x:c>
      <x:c r="F7" s="56" t="n">
        <x:f>SUM(E23:E262)</x:f>
        <x:v>552.5</x:v>
      </x:c>
      <x:c r="G7" s="52"/>
      <x:c r="H7" s="52"/>
      <x:c r="I7" s="52"/>
      <x:c r="J7" s="52"/>
      <x:c r="K7" s="52"/>
    </x:row>
    <x:row r="8" ht="28" customHeight="1">
      <x:c r="A8" s="52"/>
      <x:c r="B8" s="54" t="str">
        <x:v>Importo extra-fido</x:v>
      </x:c>
      <x:c r="C8" s="55" t="n">
        <x:v>0</x:v>
      </x:c>
      <x:c r="D8" s="52"/>
      <x:c r="E8" s="54" t="str">
        <x:v>Commissione disponibilità</x:v>
      </x:c>
      <x:c r="F8" s="56" t="n">
        <x:f>C6*C13*C12/3</x:f>
        <x:v>0</x:v>
      </x:c>
      <x:c r="G8" s="52"/>
      <x:c r="H8" s="52"/>
      <x:c r="I8" s="52"/>
      <x:c r="J8" s="52"/>
      <x:c r="K8" s="52"/>
    </x:row>
    <x:row r="9" ht="28" customHeight="1">
      <x:c r="A9" s="52"/>
      <x:c r="B9" s="54" t="str">
        <x:v>TAN entro fido</x:v>
      </x:c>
      <x:c r="C9" s="58" t="n">
        <x:v>0.085</x:v>
      </x:c>
      <x:c r="D9" s="52"/>
      <x:c r="E9" s="54" t="str">
        <x:v>Costo CIV</x:v>
      </x:c>
      <x:c r="F9" s="56" t="n">
        <x:f>C14*C15</x:f>
        <x:v>0</x:v>
      </x:c>
      <x:c r="G9" s="52"/>
      <x:c r="H9" s="52"/>
      <x:c r="I9" s="52"/>
      <x:c r="J9" s="52"/>
      <x:c r="K9" s="52"/>
    </x:row>
    <x:row r="10" ht="28" customHeight="1">
      <x:c r="A10" s="52"/>
      <x:c r="B10" s="54" t="str">
        <x:v>TAN extra-fido</x:v>
      </x:c>
      <x:c r="C10" s="58" t="n">
        <x:v>0.12</x:v>
      </x:c>
      <x:c r="D10" s="52"/>
      <x:c r="E10" s="54" t="str">
        <x:v>Altre spese</x:v>
      </x:c>
      <x:c r="F10" s="56" t="n">
        <x:f>C16</x:f>
        <x:v>0</x:v>
      </x:c>
      <x:c r="G10" s="52"/>
      <x:c r="H10" s="52"/>
      <x:c r="I10" s="52"/>
      <x:c r="J10" s="52"/>
      <x:c r="K10" s="52"/>
    </x:row>
    <x:row r="11">
      <x:c r="A11" s="52"/>
      <x:c r="B11" s="54" t="str">
        <x:v>Durata del rientro (mesi)</x:v>
      </x:c>
      <x:c r="C11" s="59" t="n">
        <x:v>12</x:v>
      </x:c>
      <x:c r="D11" s="52"/>
      <x:c r="E11" s="60" t="str">
        <x:v>Costo complessivo</x:v>
      </x:c>
      <x:c r="F11" s="61" t="n">
        <x:f>SUM(F7:F10)</x:f>
        <x:v>552.5</x:v>
      </x:c>
      <x:c r="G11" s="52"/>
      <x:c r="H11" s="52"/>
      <x:c r="I11" s="52"/>
      <x:c r="J11" s="52"/>
      <x:c r="K11" s="52"/>
    </x:row>
    <x:row r="12">
      <x:c r="A12" s="52"/>
      <x:c r="B12" s="54" t="str">
        <x:v>Mesi di disponibilità</x:v>
      </x:c>
      <x:c r="C12" s="59" t="n">
        <x:v>12</x:v>
      </x:c>
      <x:c r="D12" s="52"/>
      <x:c r="E12" s="60" t="str">
        <x:v>Totale da restituire</x:v>
      </x:c>
      <x:c r="F12" s="61" t="n">
        <x:f>F6+F11</x:f>
        <x:v>12552.5</x:v>
      </x:c>
      <x:c r="G12" s="52"/>
      <x:c r="H12" s="52"/>
      <x:c r="I12" s="62" t="str">
        <x:v>Metodo e simulatore: https://fidochiaro.com</x:v>
      </x:c>
      <x:c r="J12" s="62"/>
      <x:c r="K12" s="62"/>
    </x:row>
    <x:row r="13">
      <x:c r="A13" s="52"/>
      <x:c r="B13" s="54" t="str">
        <x:v>Commissione trimestrale</x:v>
      </x:c>
      <x:c r="C13" s="58" t="n">
        <x:v>0</x:v>
      </x:c>
      <x:c r="D13" s="52"/>
      <x:c r="E13" s="54"/>
      <x:c r="F13" s="63"/>
      <x:c r="G13" s="52"/>
      <x:c r="H13" s="52"/>
      <x:c r="I13" s="62" t="str">
        <x:v>Fonte normativa e informativa: Banca d’Italia, Indagine sul costo dei conti correnti nel 2024. https://www.bancaditalia.it/pubblicazioni/indagine-costo-cc/indagine-costo-cc2025/</x:v>
      </x:c>
      <x:c r="J13" s="62"/>
      <x:c r="K13" s="62"/>
    </x:row>
    <x:row r="14">
      <x:c r="A14" s="52"/>
      <x:c r="B14" s="54" t="str">
        <x:v>CIV per evento</x:v>
      </x:c>
      <x:c r="C14" s="55" t="n">
        <x:v>0</x:v>
      </x:c>
      <x:c r="D14" s="52"/>
      <x:c r="E14" s="54" t="str">
        <x:v>Prima uscita</x:v>
      </x:c>
      <x:c r="F14" s="63" t="str">
        <x:v>Ultima uscita</x:v>
      </x:c>
      <x:c r="G14" s="52"/>
      <x:c r="H14" s="52"/>
      <x:c r="I14" s="62"/>
      <x:c r="J14" s="62"/>
      <x:c r="K14" s="62"/>
    </x:row>
    <x:row r="15">
      <x:c r="A15" s="52"/>
      <x:c r="B15" s="54" t="str">
        <x:v>Numero di CIV</x:v>
      </x:c>
      <x:c r="C15" s="59" t="n">
        <x:v>0</x:v>
      </x:c>
      <x:c r="D15" s="52"/>
      <x:c r="E15" s="64" t="n">
        <x:f>F23</x:f>
        <x:v>1085</x:v>
      </x:c>
      <x:c r="F15" s="65" t="n">
        <x:f>INDEX(F23:F262,C11)</x:f>
        <x:v>1007.0833333333334</x:v>
      </x:c>
      <x:c r="G15" s="52"/>
      <x:c r="H15" s="52"/>
      <x:c r="I15" s="62"/>
      <x:c r="J15" s="62"/>
      <x:c r="K15" s="62"/>
    </x:row>
    <x:row r="16">
      <x:c r="A16" s="52"/>
      <x:c r="B16" s="54" t="str">
        <x:v>Altre spese</x:v>
      </x:c>
      <x:c r="C16" s="55" t="n">
        <x:v>0</x:v>
      </x:c>
      <x:c r="D16" s="52"/>
      <x:c r="E16" s="52"/>
      <x:c r="F16" s="52"/>
      <x:c r="G16" s="52"/>
      <x:c r="H16" s="52"/>
      <x:c r="I16" s="52"/>
      <x:c r="J16" s="52"/>
      <x:c r="K16" s="52"/>
    </x:row>
    <x:row r="17">
      <x:c r="A17" s="52"/>
      <x:c r="B17" s="66" t="str">
        <x:v>Modalità di rimborso</x:v>
      </x:c>
      <x:c r="C17" s="67" t="str">
        <x:v>Capitale costante</x:v>
      </x:c>
      <x:c r="D17" s="52"/>
      <x:c r="E17" s="52"/>
      <x:c r="F17" s="52"/>
      <x:c r="G17" s="52"/>
      <x:c r="H17" s="52"/>
      <x:c r="I17" s="52"/>
      <x:c r="J17" s="52"/>
      <x:c r="K17" s="52"/>
    </x:row>
    <x:row r="18">
      <x:c r="A18" s="52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</x:row>
    <x:row r="19">
      <x:c r="A19" s="52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</x:row>
    <x:row r="20">
      <x:c r="A20" s="52"/>
      <x:c r="B20" s="68" t="str">
        <x:v>Piano mensile</x:v>
      </x:c>
      <x:c r="C20" s="52"/>
      <x:c r="D20" s="52"/>
      <x:c r="E20" s="52"/>
      <x:c r="F20" s="52"/>
      <x:c r="G20" s="52"/>
      <x:c r="H20" s="52"/>
      <x:c r="I20" s="52"/>
      <x:c r="J20" s="52"/>
      <x:c r="K20" s="52"/>
    </x:row>
    <x:row r="21">
      <x:c r="A21" s="52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</x:row>
    <x:row r="22">
      <x:c r="A22" s="41" t="str">
        <x:v>Mese</x:v>
      </x:c>
      <x:c r="B22" s="41" t="str">
        <x:v>Saldo iniziale entro fido</x:v>
      </x:c>
      <x:c r="C22" s="41" t="str">
        <x:v>Saldo iniziale extra-fido</x:v>
      </x:c>
      <x:c r="D22" s="41" t="str">
        <x:v>Quota capitale</x:v>
      </x:c>
      <x:c r="E22" s="41" t="str">
        <x:v>Interessi</x:v>
      </x:c>
      <x:c r="F22" s="41" t="str">
        <x:v>Uscita</x:v>
      </x:c>
      <x:c r="G22" s="41" t="str">
        <x:v>Debito residuo</x:v>
      </x:c>
      <x:c r="H22" s="52"/>
      <x:c r="I22" s="52"/>
      <x:c r="J22" s="52"/>
      <x:c r="K22" s="52"/>
    </x:row>
    <x:row r="23">
      <x:c r="A23" s="69" t="n">
        <x:f>IF(1&lt;=$C$11,1,"")</x:f>
        <x:v>1</x:v>
      </x:c>
      <x:c r="B23" s="70" t="n">
        <x:f>IF(A23="","",$C$7)</x:f>
        <x:v>12000</x:v>
      </x:c>
      <x:c r="C23" s="70" t="n">
        <x:f>IF(A23="","",$C$8)</x:f>
        <x:v>0</x:v>
      </x:c>
      <x:c r="D23" s="70" t="n">
        <x:f>IF(A23="","",IF($C$17="Capitale costante",$F$6/$C$11,IF(A23=$C$11,$F$6,0)))</x:f>
        <x:v>1000</x:v>
      </x:c>
      <x:c r="E23" s="70" t="n">
        <x:f>IF(A23="","",B23*$C$9/12+C23*$C$10/12)</x:f>
        <x:v>85.00000000000001</x:v>
      </x:c>
      <x:c r="F23" s="70" t="n">
        <x:f>IF(A23="","",D23+E23)</x:f>
        <x:v>1085</x:v>
      </x:c>
      <x:c r="G23" s="70" t="n">
        <x:f>IF(A23="","",MAX(0,B23+C23-D23))</x:f>
        <x:v>11000</x:v>
      </x:c>
      <x:c r="H23" s="52"/>
      <x:c r="I23" s="52"/>
      <x:c r="J23" s="52"/>
      <x:c r="K23" s="52"/>
    </x:row>
    <x:row r="24">
      <x:c r="A24" s="69" t="n">
        <x:f>IF(2&lt;=$C$11,2,"")</x:f>
        <x:v>2</x:v>
      </x:c>
      <x:c r="B24" s="70" t="n">
        <x:f>IF(A24="","",MAX(0,B23-MAX(0,D23-C23)))</x:f>
        <x:v>11000</x:v>
      </x:c>
      <x:c r="C24" s="70" t="n">
        <x:f>IF(A24="","",MAX(0,C23-D23))</x:f>
        <x:v>0</x:v>
      </x:c>
      <x:c r="D24" s="70" t="n">
        <x:f>IF(A24="","",IF($C$17="Capitale costante",$F$6/$C$11,IF(A24=$C$11,$F$6,0)))</x:f>
        <x:v>1000</x:v>
      </x:c>
      <x:c r="E24" s="70" t="n">
        <x:f>IF(A24="","",B24*$C$9/12+C24*$C$10/12)</x:f>
        <x:v>77.91666666666667</x:v>
      </x:c>
      <x:c r="F24" s="70" t="n">
        <x:f>IF(A24="","",D24+E24)</x:f>
        <x:v>1077.9166666666667</x:v>
      </x:c>
      <x:c r="G24" s="70" t="n">
        <x:f>IF(A24="","",MAX(0,B24+C24-D24))</x:f>
        <x:v>10000</x:v>
      </x:c>
      <x:c r="H24" s="52"/>
      <x:c r="I24" s="52"/>
      <x:c r="J24" s="52"/>
      <x:c r="K24" s="52"/>
    </x:row>
    <x:row r="25">
      <x:c r="A25" s="69" t="n">
        <x:f>IF(3&lt;=$C$11,3,"")</x:f>
        <x:v>3</x:v>
      </x:c>
      <x:c r="B25" s="70" t="n">
        <x:f>IF(A25="","",MAX(0,B24-MAX(0,D24-C24)))</x:f>
        <x:v>10000</x:v>
      </x:c>
      <x:c r="C25" s="70" t="n">
        <x:f>IF(A25="","",MAX(0,C24-D24))</x:f>
        <x:v>0</x:v>
      </x:c>
      <x:c r="D25" s="70" t="n">
        <x:f>IF(A25="","",IF($C$17="Capitale costante",$F$6/$C$11,IF(A25=$C$11,$F$6,0)))</x:f>
        <x:v>1000</x:v>
      </x:c>
      <x:c r="E25" s="70" t="n">
        <x:f>IF(A25="","",B25*$C$9/12+C25*$C$10/12)</x:f>
        <x:v>70.83333333333334</x:v>
      </x:c>
      <x:c r="F25" s="70" t="n">
        <x:f>IF(A25="","",D25+E25)</x:f>
        <x:v>1070.8333333333333</x:v>
      </x:c>
      <x:c r="G25" s="70" t="n">
        <x:f>IF(A25="","",MAX(0,B25+C25-D25))</x:f>
        <x:v>9000</x:v>
      </x:c>
      <x:c r="H25" s="52"/>
      <x:c r="I25" s="52"/>
      <x:c r="J25" s="52"/>
      <x:c r="K25" s="52"/>
    </x:row>
    <x:row r="26">
      <x:c r="A26" s="69" t="n">
        <x:f>IF(4&lt;=$C$11,4,"")</x:f>
        <x:v>4</x:v>
      </x:c>
      <x:c r="B26" s="70" t="n">
        <x:f>IF(A26="","",MAX(0,B25-MAX(0,D25-C25)))</x:f>
        <x:v>9000</x:v>
      </x:c>
      <x:c r="C26" s="70" t="n">
        <x:f>IF(A26="","",MAX(0,C25-D25))</x:f>
        <x:v>0</x:v>
      </x:c>
      <x:c r="D26" s="70" t="n">
        <x:f>IF(A26="","",IF($C$17="Capitale costante",$F$6/$C$11,IF(A26=$C$11,$F$6,0)))</x:f>
        <x:v>1000</x:v>
      </x:c>
      <x:c r="E26" s="70" t="n">
        <x:f>IF(A26="","",B26*$C$9/12+C26*$C$10/12)</x:f>
        <x:v>63.75</x:v>
      </x:c>
      <x:c r="F26" s="70" t="n">
        <x:f>IF(A26="","",D26+E26)</x:f>
        <x:v>1063.75</x:v>
      </x:c>
      <x:c r="G26" s="70" t="n">
        <x:f>IF(A26="","",MAX(0,B26+C26-D26))</x:f>
        <x:v>8000</x:v>
      </x:c>
      <x:c r="H26" s="52"/>
      <x:c r="I26" s="52"/>
      <x:c r="J26" s="52"/>
      <x:c r="K26" s="52"/>
    </x:row>
    <x:row r="27">
      <x:c r="A27" s="69" t="n">
        <x:f>IF(5&lt;=$C$11,5,"")</x:f>
        <x:v>5</x:v>
      </x:c>
      <x:c r="B27" s="70" t="n">
        <x:f>IF(A27="","",MAX(0,B26-MAX(0,D26-C26)))</x:f>
        <x:v>8000</x:v>
      </x:c>
      <x:c r="C27" s="70" t="n">
        <x:f>IF(A27="","",MAX(0,C26-D26))</x:f>
        <x:v>0</x:v>
      </x:c>
      <x:c r="D27" s="70" t="n">
        <x:f>IF(A27="","",IF($C$17="Capitale costante",$F$6/$C$11,IF(A27=$C$11,$F$6,0)))</x:f>
        <x:v>1000</x:v>
      </x:c>
      <x:c r="E27" s="70" t="n">
        <x:f>IF(A27="","",B27*$C$9/12+C27*$C$10/12)</x:f>
        <x:v>56.666666666666664</x:v>
      </x:c>
      <x:c r="F27" s="70" t="n">
        <x:f>IF(A27="","",D27+E27)</x:f>
        <x:v>1056.6666666666667</x:v>
      </x:c>
      <x:c r="G27" s="70" t="n">
        <x:f>IF(A27="","",MAX(0,B27+C27-D27))</x:f>
        <x:v>7000</x:v>
      </x:c>
      <x:c r="H27" s="52"/>
      <x:c r="I27" s="52"/>
      <x:c r="J27" s="52"/>
      <x:c r="K27" s="52"/>
    </x:row>
    <x:row r="28">
      <x:c r="A28" s="69" t="n">
        <x:f>IF(6&lt;=$C$11,6,"")</x:f>
        <x:v>6</x:v>
      </x:c>
      <x:c r="B28" s="70" t="n">
        <x:f>IF(A28="","",MAX(0,B27-MAX(0,D27-C27)))</x:f>
        <x:v>7000</x:v>
      </x:c>
      <x:c r="C28" s="70" t="n">
        <x:f>IF(A28="","",MAX(0,C27-D27))</x:f>
        <x:v>0</x:v>
      </x:c>
      <x:c r="D28" s="70" t="n">
        <x:f>IF(A28="","",IF($C$17="Capitale costante",$F$6/$C$11,IF(A28=$C$11,$F$6,0)))</x:f>
        <x:v>1000</x:v>
      </x:c>
      <x:c r="E28" s="70" t="n">
        <x:f>IF(A28="","",B28*$C$9/12+C28*$C$10/12)</x:f>
        <x:v>49.583333333333336</x:v>
      </x:c>
      <x:c r="F28" s="70" t="n">
        <x:f>IF(A28="","",D28+E28)</x:f>
        <x:v>1049.5833333333333</x:v>
      </x:c>
      <x:c r="G28" s="70" t="n">
        <x:f>IF(A28="","",MAX(0,B28+C28-D28))</x:f>
        <x:v>6000</x:v>
      </x:c>
      <x:c r="H28" s="52"/>
      <x:c r="I28" s="52"/>
      <x:c r="J28" s="52"/>
      <x:c r="K28" s="52"/>
    </x:row>
    <x:row r="29">
      <x:c r="A29" s="69" t="n">
        <x:f>IF(7&lt;=$C$11,7,"")</x:f>
        <x:v>7</x:v>
      </x:c>
      <x:c r="B29" s="70" t="n">
        <x:f>IF(A29="","",MAX(0,B28-MAX(0,D28-C28)))</x:f>
        <x:v>6000</x:v>
      </x:c>
      <x:c r="C29" s="70" t="n">
        <x:f>IF(A29="","",MAX(0,C28-D28))</x:f>
        <x:v>0</x:v>
      </x:c>
      <x:c r="D29" s="70" t="n">
        <x:f>IF(A29="","",IF($C$17="Capitale costante",$F$6/$C$11,IF(A29=$C$11,$F$6,0)))</x:f>
        <x:v>1000</x:v>
      </x:c>
      <x:c r="E29" s="70" t="n">
        <x:f>IF(A29="","",B29*$C$9/12+C29*$C$10/12)</x:f>
        <x:v>42.50000000000001</x:v>
      </x:c>
      <x:c r="F29" s="70" t="n">
        <x:f>IF(A29="","",D29+E29)</x:f>
        <x:v>1042.5</x:v>
      </x:c>
      <x:c r="G29" s="70" t="n">
        <x:f>IF(A29="","",MAX(0,B29+C29-D29))</x:f>
        <x:v>5000</x:v>
      </x:c>
      <x:c r="H29" s="52"/>
      <x:c r="I29" s="52"/>
      <x:c r="J29" s="52"/>
      <x:c r="K29" s="52"/>
    </x:row>
    <x:row r="30">
      <x:c r="A30" s="69" t="n">
        <x:f>IF(8&lt;=$C$11,8,"")</x:f>
        <x:v>8</x:v>
      </x:c>
      <x:c r="B30" s="70" t="n">
        <x:f>IF(A30="","",MAX(0,B29-MAX(0,D29-C29)))</x:f>
        <x:v>5000</x:v>
      </x:c>
      <x:c r="C30" s="70" t="n">
        <x:f>IF(A30="","",MAX(0,C29-D29))</x:f>
        <x:v>0</x:v>
      </x:c>
      <x:c r="D30" s="70" t="n">
        <x:f>IF(A30="","",IF($C$17="Capitale costante",$F$6/$C$11,IF(A30=$C$11,$F$6,0)))</x:f>
        <x:v>1000</x:v>
      </x:c>
      <x:c r="E30" s="70" t="n">
        <x:f>IF(A30="","",B30*$C$9/12+C30*$C$10/12)</x:f>
        <x:v>35.41666666666667</x:v>
      </x:c>
      <x:c r="F30" s="70" t="n">
        <x:f>IF(A30="","",D30+E30)</x:f>
        <x:v>1035.4166666666667</x:v>
      </x:c>
      <x:c r="G30" s="70" t="n">
        <x:f>IF(A30="","",MAX(0,B30+C30-D30))</x:f>
        <x:v>4000</x:v>
      </x:c>
      <x:c r="H30" s="52"/>
      <x:c r="I30" s="52"/>
      <x:c r="J30" s="52"/>
      <x:c r="K30" s="52"/>
    </x:row>
    <x:row r="31">
      <x:c r="A31" s="69" t="n">
        <x:f>IF(9&lt;=$C$11,9,"")</x:f>
        <x:v>9</x:v>
      </x:c>
      <x:c r="B31" s="70" t="n">
        <x:f>IF(A31="","",MAX(0,B30-MAX(0,D30-C30)))</x:f>
        <x:v>4000</x:v>
      </x:c>
      <x:c r="C31" s="70" t="n">
        <x:f>IF(A31="","",MAX(0,C30-D30))</x:f>
        <x:v>0</x:v>
      </x:c>
      <x:c r="D31" s="70" t="n">
        <x:f>IF(A31="","",IF($C$17="Capitale costante",$F$6/$C$11,IF(A31=$C$11,$F$6,0)))</x:f>
        <x:v>1000</x:v>
      </x:c>
      <x:c r="E31" s="70" t="n">
        <x:f>IF(A31="","",B31*$C$9/12+C31*$C$10/12)</x:f>
        <x:v>28.333333333333332</x:v>
      </x:c>
      <x:c r="F31" s="70" t="n">
        <x:f>IF(A31="","",D31+E31)</x:f>
        <x:v>1028.3333333333333</x:v>
      </x:c>
      <x:c r="G31" s="70" t="n">
        <x:f>IF(A31="","",MAX(0,B31+C31-D31))</x:f>
        <x:v>3000</x:v>
      </x:c>
      <x:c r="H31" s="52"/>
      <x:c r="I31" s="52"/>
      <x:c r="J31" s="52"/>
      <x:c r="K31" s="52"/>
    </x:row>
    <x:row r="32">
      <x:c r="A32" s="69" t="n">
        <x:f>IF(10&lt;=$C$11,10,"")</x:f>
        <x:v>10</x:v>
      </x:c>
      <x:c r="B32" s="70" t="n">
        <x:f>IF(A32="","",MAX(0,B31-MAX(0,D31-C31)))</x:f>
        <x:v>3000</x:v>
      </x:c>
      <x:c r="C32" s="70" t="n">
        <x:f>IF(A32="","",MAX(0,C31-D31))</x:f>
        <x:v>0</x:v>
      </x:c>
      <x:c r="D32" s="70" t="n">
        <x:f>IF(A32="","",IF($C$17="Capitale costante",$F$6/$C$11,IF(A32=$C$11,$F$6,0)))</x:f>
        <x:v>1000</x:v>
      </x:c>
      <x:c r="E32" s="70" t="n">
        <x:f>IF(A32="","",B32*$C$9/12+C32*$C$10/12)</x:f>
        <x:v>21.250000000000004</x:v>
      </x:c>
      <x:c r="F32" s="70" t="n">
        <x:f>IF(A32="","",D32+E32)</x:f>
        <x:v>1021.25</x:v>
      </x:c>
      <x:c r="G32" s="70" t="n">
        <x:f>IF(A32="","",MAX(0,B32+C32-D32))</x:f>
        <x:v>2000</x:v>
      </x:c>
      <x:c r="H32" s="52"/>
      <x:c r="I32" s="52"/>
      <x:c r="J32" s="52"/>
      <x:c r="K32" s="52"/>
    </x:row>
    <x:row r="33">
      <x:c r="A33" s="69" t="n">
        <x:f>IF(11&lt;=$C$11,11,"")</x:f>
        <x:v>11</x:v>
      </x:c>
      <x:c r="B33" s="70" t="n">
        <x:f>IF(A33="","",MAX(0,B32-MAX(0,D32-C32)))</x:f>
        <x:v>2000</x:v>
      </x:c>
      <x:c r="C33" s="70" t="n">
        <x:f>IF(A33="","",MAX(0,C32-D32))</x:f>
        <x:v>0</x:v>
      </x:c>
      <x:c r="D33" s="70" t="n">
        <x:f>IF(A33="","",IF($C$17="Capitale costante",$F$6/$C$11,IF(A33=$C$11,$F$6,0)))</x:f>
        <x:v>1000</x:v>
      </x:c>
      <x:c r="E33" s="70" t="n">
        <x:f>IF(A33="","",B33*$C$9/12+C33*$C$10/12)</x:f>
        <x:v>14.166666666666666</x:v>
      </x:c>
      <x:c r="F33" s="70" t="n">
        <x:f>IF(A33="","",D33+E33)</x:f>
        <x:v>1014.1666666666666</x:v>
      </x:c>
      <x:c r="G33" s="70" t="n">
        <x:f>IF(A33="","",MAX(0,B33+C33-D33))</x:f>
        <x:v>1000</x:v>
      </x:c>
      <x:c r="H33" s="52"/>
      <x:c r="I33" s="52"/>
      <x:c r="J33" s="52"/>
      <x:c r="K33" s="52"/>
    </x:row>
    <x:row r="34">
      <x:c r="A34" s="69" t="n">
        <x:f>IF(12&lt;=$C$11,12,"")</x:f>
        <x:v>12</x:v>
      </x:c>
      <x:c r="B34" s="70" t="n">
        <x:f>IF(A34="","",MAX(0,B33-MAX(0,D33-C33)))</x:f>
        <x:v>1000</x:v>
      </x:c>
      <x:c r="C34" s="70" t="n">
        <x:f>IF(A34="","",MAX(0,C33-D33))</x:f>
        <x:v>0</x:v>
      </x:c>
      <x:c r="D34" s="70" t="n">
        <x:f>IF(A34="","",IF($C$17="Capitale costante",$F$6/$C$11,IF(A34=$C$11,$F$6,0)))</x:f>
        <x:v>1000</x:v>
      </x:c>
      <x:c r="E34" s="70" t="n">
        <x:f>IF(A34="","",B34*$C$9/12+C34*$C$10/12)</x:f>
        <x:v>7.083333333333333</x:v>
      </x:c>
      <x:c r="F34" s="70" t="n">
        <x:f>IF(A34="","",D34+E34)</x:f>
        <x:v>1007.0833333333334</x:v>
      </x:c>
      <x:c r="G34" s="70" t="n">
        <x:f>IF(A34="","",MAX(0,B34+C34-D34))</x:f>
        <x:v>0</x:v>
      </x:c>
      <x:c r="H34" s="52"/>
      <x:c r="I34" s="52"/>
      <x:c r="J34" s="52"/>
      <x:c r="K34" s="52"/>
    </x:row>
    <x:row r="35">
      <x:c r="A35" s="69" t="str">
        <x:f>IF(13&lt;=$C$11,13,"")</x:f>
      </x:c>
      <x:c r="B35" s="70" t="str">
        <x:f>IF(A35="","",MAX(0,B34-MAX(0,D34-C34)))</x:f>
      </x:c>
      <x:c r="C35" s="70" t="str">
        <x:f>IF(A35="","",MAX(0,C34-D34))</x:f>
      </x:c>
      <x:c r="D35" s="70" t="str">
        <x:f>IF(A35="","",IF($C$17="Capitale costante",$F$6/$C$11,IF(A35=$C$11,$F$6,0)))</x:f>
      </x:c>
      <x:c r="E35" s="70" t="str">
        <x:f>IF(A35="","",B35*$C$9/12+C35*$C$10/12)</x:f>
      </x:c>
      <x:c r="F35" s="70" t="str">
        <x:f>IF(A35="","",D35+E35)</x:f>
      </x:c>
      <x:c r="G35" s="70" t="str">
        <x:f>IF(A35="","",MAX(0,B35+C35-D35))</x:f>
      </x:c>
      <x:c r="H35" s="52"/>
      <x:c r="I35" s="52"/>
      <x:c r="J35" s="52"/>
      <x:c r="K35" s="52"/>
    </x:row>
    <x:row r="36">
      <x:c r="A36" s="69" t="str">
        <x:f>IF(14&lt;=$C$11,14,"")</x:f>
      </x:c>
      <x:c r="B36" s="70" t="str">
        <x:f>IF(A36="","",MAX(0,B35-MAX(0,D35-C35)))</x:f>
      </x:c>
      <x:c r="C36" s="70" t="str">
        <x:f>IF(A36="","",MAX(0,C35-D35))</x:f>
      </x:c>
      <x:c r="D36" s="70" t="str">
        <x:f>IF(A36="","",IF($C$17="Capitale costante",$F$6/$C$11,IF(A36=$C$11,$F$6,0)))</x:f>
      </x:c>
      <x:c r="E36" s="70" t="str">
        <x:f>IF(A36="","",B36*$C$9/12+C36*$C$10/12)</x:f>
      </x:c>
      <x:c r="F36" s="70" t="str">
        <x:f>IF(A36="","",D36+E36)</x:f>
      </x:c>
      <x:c r="G36" s="70" t="str">
        <x:f>IF(A36="","",MAX(0,B36+C36-D36))</x:f>
      </x:c>
      <x:c r="H36" s="52"/>
      <x:c r="I36" s="52"/>
      <x:c r="J36" s="52"/>
      <x:c r="K36" s="52"/>
    </x:row>
    <x:row r="37">
      <x:c r="A37" s="69" t="str">
        <x:f>IF(15&lt;=$C$11,15,"")</x:f>
      </x:c>
      <x:c r="B37" s="70" t="str">
        <x:f>IF(A37="","",MAX(0,B36-MAX(0,D36-C36)))</x:f>
      </x:c>
      <x:c r="C37" s="70" t="str">
        <x:f>IF(A37="","",MAX(0,C36-D36))</x:f>
      </x:c>
      <x:c r="D37" s="70" t="str">
        <x:f>IF(A37="","",IF($C$17="Capitale costante",$F$6/$C$11,IF(A37=$C$11,$F$6,0)))</x:f>
      </x:c>
      <x:c r="E37" s="70" t="str">
        <x:f>IF(A37="","",B37*$C$9/12+C37*$C$10/12)</x:f>
      </x:c>
      <x:c r="F37" s="70" t="str">
        <x:f>IF(A37="","",D37+E37)</x:f>
      </x:c>
      <x:c r="G37" s="70" t="str">
        <x:f>IF(A37="","",MAX(0,B37+C37-D37))</x:f>
      </x:c>
      <x:c r="H37" s="52"/>
      <x:c r="I37" s="52"/>
      <x:c r="J37" s="52"/>
      <x:c r="K37" s="52"/>
    </x:row>
    <x:row r="38">
      <x:c r="A38" s="69" t="str">
        <x:f>IF(16&lt;=$C$11,16,"")</x:f>
      </x:c>
      <x:c r="B38" s="70" t="str">
        <x:f>IF(A38="","",MAX(0,B37-MAX(0,D37-C37)))</x:f>
      </x:c>
      <x:c r="C38" s="70" t="str">
        <x:f>IF(A38="","",MAX(0,C37-D37))</x:f>
      </x:c>
      <x:c r="D38" s="70" t="str">
        <x:f>IF(A38="","",IF($C$17="Capitale costante",$F$6/$C$11,IF(A38=$C$11,$F$6,0)))</x:f>
      </x:c>
      <x:c r="E38" s="70" t="str">
        <x:f>IF(A38="","",B38*$C$9/12+C38*$C$10/12)</x:f>
      </x:c>
      <x:c r="F38" s="70" t="str">
        <x:f>IF(A38="","",D38+E38)</x:f>
      </x:c>
      <x:c r="G38" s="70" t="str">
        <x:f>IF(A38="","",MAX(0,B38+C38-D38))</x:f>
      </x:c>
      <x:c r="H38" s="52"/>
      <x:c r="I38" s="52"/>
      <x:c r="J38" s="52"/>
      <x:c r="K38" s="52"/>
    </x:row>
    <x:row r="39">
      <x:c r="A39" s="69" t="str">
        <x:f>IF(17&lt;=$C$11,17,"")</x:f>
      </x:c>
      <x:c r="B39" s="70" t="str">
        <x:f>IF(A39="","",MAX(0,B38-MAX(0,D38-C38)))</x:f>
      </x:c>
      <x:c r="C39" s="70" t="str">
        <x:f>IF(A39="","",MAX(0,C38-D38))</x:f>
      </x:c>
      <x:c r="D39" s="70" t="str">
        <x:f>IF(A39="","",IF($C$17="Capitale costante",$F$6/$C$11,IF(A39=$C$11,$F$6,0)))</x:f>
      </x:c>
      <x:c r="E39" s="70" t="str">
        <x:f>IF(A39="","",B39*$C$9/12+C39*$C$10/12)</x:f>
      </x:c>
      <x:c r="F39" s="70" t="str">
        <x:f>IF(A39="","",D39+E39)</x:f>
      </x:c>
      <x:c r="G39" s="70" t="str">
        <x:f>IF(A39="","",MAX(0,B39+C39-D39))</x:f>
      </x:c>
      <x:c r="H39" s="52"/>
      <x:c r="I39" s="52"/>
      <x:c r="J39" s="52"/>
      <x:c r="K39" s="52"/>
    </x:row>
    <x:row r="40">
      <x:c r="A40" s="69" t="str">
        <x:f>IF(18&lt;=$C$11,18,"")</x:f>
      </x:c>
      <x:c r="B40" s="70" t="str">
        <x:f>IF(A40="","",MAX(0,B39-MAX(0,D39-C39)))</x:f>
      </x:c>
      <x:c r="C40" s="70" t="str">
        <x:f>IF(A40="","",MAX(0,C39-D39))</x:f>
      </x:c>
      <x:c r="D40" s="70" t="str">
        <x:f>IF(A40="","",IF($C$17="Capitale costante",$F$6/$C$11,IF(A40=$C$11,$F$6,0)))</x:f>
      </x:c>
      <x:c r="E40" s="70" t="str">
        <x:f>IF(A40="","",B40*$C$9/12+C40*$C$10/12)</x:f>
      </x:c>
      <x:c r="F40" s="70" t="str">
        <x:f>IF(A40="","",D40+E40)</x:f>
      </x:c>
      <x:c r="G40" s="70" t="str">
        <x:f>IF(A40="","",MAX(0,B40+C40-D40))</x:f>
      </x:c>
      <x:c r="H40" s="52"/>
      <x:c r="I40" s="52"/>
      <x:c r="J40" s="52"/>
      <x:c r="K40" s="52"/>
    </x:row>
    <x:row r="41">
      <x:c r="A41" s="69" t="str">
        <x:f>IF(19&lt;=$C$11,19,"")</x:f>
      </x:c>
      <x:c r="B41" s="70" t="str">
        <x:f>IF(A41="","",MAX(0,B40-MAX(0,D40-C40)))</x:f>
      </x:c>
      <x:c r="C41" s="70" t="str">
        <x:f>IF(A41="","",MAX(0,C40-D40))</x:f>
      </x:c>
      <x:c r="D41" s="70" t="str">
        <x:f>IF(A41="","",IF($C$17="Capitale costante",$F$6/$C$11,IF(A41=$C$11,$F$6,0)))</x:f>
      </x:c>
      <x:c r="E41" s="70" t="str">
        <x:f>IF(A41="","",B41*$C$9/12+C41*$C$10/12)</x:f>
      </x:c>
      <x:c r="F41" s="70" t="str">
        <x:f>IF(A41="","",D41+E41)</x:f>
      </x:c>
      <x:c r="G41" s="70" t="str">
        <x:f>IF(A41="","",MAX(0,B41+C41-D41))</x:f>
      </x:c>
      <x:c r="H41" s="52"/>
      <x:c r="I41" s="52"/>
      <x:c r="J41" s="52"/>
      <x:c r="K41" s="52"/>
    </x:row>
    <x:row r="42">
      <x:c r="A42" s="69" t="str">
        <x:f>IF(20&lt;=$C$11,20,"")</x:f>
      </x:c>
      <x:c r="B42" s="70" t="str">
        <x:f>IF(A42="","",MAX(0,B41-MAX(0,D41-C41)))</x:f>
      </x:c>
      <x:c r="C42" s="70" t="str">
        <x:f>IF(A42="","",MAX(0,C41-D41))</x:f>
      </x:c>
      <x:c r="D42" s="70" t="str">
        <x:f>IF(A42="","",IF($C$17="Capitale costante",$F$6/$C$11,IF(A42=$C$11,$F$6,0)))</x:f>
      </x:c>
      <x:c r="E42" s="70" t="str">
        <x:f>IF(A42="","",B42*$C$9/12+C42*$C$10/12)</x:f>
      </x:c>
      <x:c r="F42" s="70" t="str">
        <x:f>IF(A42="","",D42+E42)</x:f>
      </x:c>
      <x:c r="G42" s="70" t="str">
        <x:f>IF(A42="","",MAX(0,B42+C42-D42))</x:f>
      </x:c>
      <x:c r="H42" s="52"/>
      <x:c r="I42" s="52"/>
      <x:c r="J42" s="52"/>
      <x:c r="K42" s="52"/>
    </x:row>
    <x:row r="43">
      <x:c r="A43" s="69" t="str">
        <x:f>IF(21&lt;=$C$11,21,"")</x:f>
      </x:c>
      <x:c r="B43" s="70" t="str">
        <x:f>IF(A43="","",MAX(0,B42-MAX(0,D42-C42)))</x:f>
      </x:c>
      <x:c r="C43" s="70" t="str">
        <x:f>IF(A43="","",MAX(0,C42-D42))</x:f>
      </x:c>
      <x:c r="D43" s="70" t="str">
        <x:f>IF(A43="","",IF($C$17="Capitale costante",$F$6/$C$11,IF(A43=$C$11,$F$6,0)))</x:f>
      </x:c>
      <x:c r="E43" s="70" t="str">
        <x:f>IF(A43="","",B43*$C$9/12+C43*$C$10/12)</x:f>
      </x:c>
      <x:c r="F43" s="70" t="str">
        <x:f>IF(A43="","",D43+E43)</x:f>
      </x:c>
      <x:c r="G43" s="70" t="str">
        <x:f>IF(A43="","",MAX(0,B43+C43-D43))</x:f>
      </x:c>
      <x:c r="H43" s="52"/>
      <x:c r="I43" s="52"/>
      <x:c r="J43" s="52"/>
      <x:c r="K43" s="52"/>
    </x:row>
    <x:row r="44">
      <x:c r="A44" s="69" t="str">
        <x:f>IF(22&lt;=$C$11,22,"")</x:f>
      </x:c>
      <x:c r="B44" s="70" t="str">
        <x:f>IF(A44="","",MAX(0,B43-MAX(0,D43-C43)))</x:f>
      </x:c>
      <x:c r="C44" s="70" t="str">
        <x:f>IF(A44="","",MAX(0,C43-D43))</x:f>
      </x:c>
      <x:c r="D44" s="70" t="str">
        <x:f>IF(A44="","",IF($C$17="Capitale costante",$F$6/$C$11,IF(A44=$C$11,$F$6,0)))</x:f>
      </x:c>
      <x:c r="E44" s="70" t="str">
        <x:f>IF(A44="","",B44*$C$9/12+C44*$C$10/12)</x:f>
      </x:c>
      <x:c r="F44" s="70" t="str">
        <x:f>IF(A44="","",D44+E44)</x:f>
      </x:c>
      <x:c r="G44" s="70" t="str">
        <x:f>IF(A44="","",MAX(0,B44+C44-D44))</x:f>
      </x:c>
      <x:c r="H44" s="52"/>
      <x:c r="I44" s="52"/>
      <x:c r="J44" s="52"/>
      <x:c r="K44" s="52"/>
    </x:row>
    <x:row r="45">
      <x:c r="A45" s="69" t="str">
        <x:f>IF(23&lt;=$C$11,23,"")</x:f>
      </x:c>
      <x:c r="B45" s="70" t="str">
        <x:f>IF(A45="","",MAX(0,B44-MAX(0,D44-C44)))</x:f>
      </x:c>
      <x:c r="C45" s="70" t="str">
        <x:f>IF(A45="","",MAX(0,C44-D44))</x:f>
      </x:c>
      <x:c r="D45" s="70" t="str">
        <x:f>IF(A45="","",IF($C$17="Capitale costante",$F$6/$C$11,IF(A45=$C$11,$F$6,0)))</x:f>
      </x:c>
      <x:c r="E45" s="70" t="str">
        <x:f>IF(A45="","",B45*$C$9/12+C45*$C$10/12)</x:f>
      </x:c>
      <x:c r="F45" s="70" t="str">
        <x:f>IF(A45="","",D45+E45)</x:f>
      </x:c>
      <x:c r="G45" s="70" t="str">
        <x:f>IF(A45="","",MAX(0,B45+C45-D45))</x:f>
      </x:c>
      <x:c r="H45" s="52"/>
      <x:c r="I45" s="52"/>
      <x:c r="J45" s="52"/>
      <x:c r="K45" s="52"/>
    </x:row>
    <x:row r="46">
      <x:c r="A46" s="69" t="str">
        <x:f>IF(24&lt;=$C$11,24,"")</x:f>
      </x:c>
      <x:c r="B46" s="70" t="str">
        <x:f>IF(A46="","",MAX(0,B45-MAX(0,D45-C45)))</x:f>
      </x:c>
      <x:c r="C46" s="70" t="str">
        <x:f>IF(A46="","",MAX(0,C45-D45))</x:f>
      </x:c>
      <x:c r="D46" s="70" t="str">
        <x:f>IF(A46="","",IF($C$17="Capitale costante",$F$6/$C$11,IF(A46=$C$11,$F$6,0)))</x:f>
      </x:c>
      <x:c r="E46" s="70" t="str">
        <x:f>IF(A46="","",B46*$C$9/12+C46*$C$10/12)</x:f>
      </x:c>
      <x:c r="F46" s="70" t="str">
        <x:f>IF(A46="","",D46+E46)</x:f>
      </x:c>
      <x:c r="G46" s="70" t="str">
        <x:f>IF(A46="","",MAX(0,B46+C46-D46))</x:f>
      </x:c>
      <x:c r="H46" s="52"/>
      <x:c r="I46" s="52"/>
      <x:c r="J46" s="52"/>
      <x:c r="K46" s="52"/>
    </x:row>
    <x:row r="47">
      <x:c r="A47" s="69" t="str">
        <x:f>IF(25&lt;=$C$11,25,"")</x:f>
      </x:c>
      <x:c r="B47" s="70" t="str">
        <x:f>IF(A47="","",MAX(0,B46-MAX(0,D46-C46)))</x:f>
      </x:c>
      <x:c r="C47" s="70" t="str">
        <x:f>IF(A47="","",MAX(0,C46-D46))</x:f>
      </x:c>
      <x:c r="D47" s="70" t="str">
        <x:f>IF(A47="","",IF($C$17="Capitale costante",$F$6/$C$11,IF(A47=$C$11,$F$6,0)))</x:f>
      </x:c>
      <x:c r="E47" s="70" t="str">
        <x:f>IF(A47="","",B47*$C$9/12+C47*$C$10/12)</x:f>
      </x:c>
      <x:c r="F47" s="70" t="str">
        <x:f>IF(A47="","",D47+E47)</x:f>
      </x:c>
      <x:c r="G47" s="70" t="str">
        <x:f>IF(A47="","",MAX(0,B47+C47-D47))</x:f>
      </x:c>
      <x:c r="H47" s="52"/>
      <x:c r="I47" s="52"/>
      <x:c r="J47" s="52"/>
      <x:c r="K47" s="52"/>
    </x:row>
    <x:row r="48">
      <x:c r="A48" s="69" t="str">
        <x:f>IF(26&lt;=$C$11,26,"")</x:f>
      </x:c>
      <x:c r="B48" s="70" t="str">
        <x:f>IF(A48="","",MAX(0,B47-MAX(0,D47-C47)))</x:f>
      </x:c>
      <x:c r="C48" s="70" t="str">
        <x:f>IF(A48="","",MAX(0,C47-D47))</x:f>
      </x:c>
      <x:c r="D48" s="70" t="str">
        <x:f>IF(A48="","",IF($C$17="Capitale costante",$F$6/$C$11,IF(A48=$C$11,$F$6,0)))</x:f>
      </x:c>
      <x:c r="E48" s="70" t="str">
        <x:f>IF(A48="","",B48*$C$9/12+C48*$C$10/12)</x:f>
      </x:c>
      <x:c r="F48" s="70" t="str">
        <x:f>IF(A48="","",D48+E48)</x:f>
      </x:c>
      <x:c r="G48" s="70" t="str">
        <x:f>IF(A48="","",MAX(0,B48+C48-D48))</x:f>
      </x:c>
      <x:c r="H48" s="52"/>
      <x:c r="I48" s="52"/>
      <x:c r="J48" s="52"/>
      <x:c r="K48" s="52"/>
    </x:row>
    <x:row r="49">
      <x:c r="A49" s="69" t="str">
        <x:f>IF(27&lt;=$C$11,27,"")</x:f>
      </x:c>
      <x:c r="B49" s="70" t="str">
        <x:f>IF(A49="","",MAX(0,B48-MAX(0,D48-C48)))</x:f>
      </x:c>
      <x:c r="C49" s="70" t="str">
        <x:f>IF(A49="","",MAX(0,C48-D48))</x:f>
      </x:c>
      <x:c r="D49" s="70" t="str">
        <x:f>IF(A49="","",IF($C$17="Capitale costante",$F$6/$C$11,IF(A49=$C$11,$F$6,0)))</x:f>
      </x:c>
      <x:c r="E49" s="70" t="str">
        <x:f>IF(A49="","",B49*$C$9/12+C49*$C$10/12)</x:f>
      </x:c>
      <x:c r="F49" s="70" t="str">
        <x:f>IF(A49="","",D49+E49)</x:f>
      </x:c>
      <x:c r="G49" s="70" t="str">
        <x:f>IF(A49="","",MAX(0,B49+C49-D49))</x:f>
      </x:c>
      <x:c r="H49" s="52"/>
      <x:c r="I49" s="52"/>
      <x:c r="J49" s="52"/>
      <x:c r="K49" s="52"/>
    </x:row>
    <x:row r="50">
      <x:c r="A50" s="69" t="str">
        <x:f>IF(28&lt;=$C$11,28,"")</x:f>
      </x:c>
      <x:c r="B50" s="70" t="str">
        <x:f>IF(A50="","",MAX(0,B49-MAX(0,D49-C49)))</x:f>
      </x:c>
      <x:c r="C50" s="70" t="str">
        <x:f>IF(A50="","",MAX(0,C49-D49))</x:f>
      </x:c>
      <x:c r="D50" s="70" t="str">
        <x:f>IF(A50="","",IF($C$17="Capitale costante",$F$6/$C$11,IF(A50=$C$11,$F$6,0)))</x:f>
      </x:c>
      <x:c r="E50" s="70" t="str">
        <x:f>IF(A50="","",B50*$C$9/12+C50*$C$10/12)</x:f>
      </x:c>
      <x:c r="F50" s="70" t="str">
        <x:f>IF(A50="","",D50+E50)</x:f>
      </x:c>
      <x:c r="G50" s="70" t="str">
        <x:f>IF(A50="","",MAX(0,B50+C50-D50))</x:f>
      </x:c>
      <x:c r="H50" s="52"/>
      <x:c r="I50" s="52"/>
      <x:c r="J50" s="52"/>
      <x:c r="K50" s="52"/>
    </x:row>
    <x:row r="51">
      <x:c r="A51" s="69" t="str">
        <x:f>IF(29&lt;=$C$11,29,"")</x:f>
      </x:c>
      <x:c r="B51" s="70" t="str">
        <x:f>IF(A51="","",MAX(0,B50-MAX(0,D50-C50)))</x:f>
      </x:c>
      <x:c r="C51" s="70" t="str">
        <x:f>IF(A51="","",MAX(0,C50-D50))</x:f>
      </x:c>
      <x:c r="D51" s="70" t="str">
        <x:f>IF(A51="","",IF($C$17="Capitale costante",$F$6/$C$11,IF(A51=$C$11,$F$6,0)))</x:f>
      </x:c>
      <x:c r="E51" s="70" t="str">
        <x:f>IF(A51="","",B51*$C$9/12+C51*$C$10/12)</x:f>
      </x:c>
      <x:c r="F51" s="70" t="str">
        <x:f>IF(A51="","",D51+E51)</x:f>
      </x:c>
      <x:c r="G51" s="70" t="str">
        <x:f>IF(A51="","",MAX(0,B51+C51-D51))</x:f>
      </x:c>
      <x:c r="H51" s="52"/>
      <x:c r="I51" s="52"/>
      <x:c r="J51" s="52"/>
      <x:c r="K51" s="52"/>
    </x:row>
    <x:row r="52">
      <x:c r="A52" s="69" t="str">
        <x:f>IF(30&lt;=$C$11,30,"")</x:f>
      </x:c>
      <x:c r="B52" s="70" t="str">
        <x:f>IF(A52="","",MAX(0,B51-MAX(0,D51-C51)))</x:f>
      </x:c>
      <x:c r="C52" s="70" t="str">
        <x:f>IF(A52="","",MAX(0,C51-D51))</x:f>
      </x:c>
      <x:c r="D52" s="70" t="str">
        <x:f>IF(A52="","",IF($C$17="Capitale costante",$F$6/$C$11,IF(A52=$C$11,$F$6,0)))</x:f>
      </x:c>
      <x:c r="E52" s="70" t="str">
        <x:f>IF(A52="","",B52*$C$9/12+C52*$C$10/12)</x:f>
      </x:c>
      <x:c r="F52" s="70" t="str">
        <x:f>IF(A52="","",D52+E52)</x:f>
      </x:c>
      <x:c r="G52" s="70" t="str">
        <x:f>IF(A52="","",MAX(0,B52+C52-D52))</x:f>
      </x:c>
      <x:c r="H52" s="52"/>
      <x:c r="I52" s="52"/>
      <x:c r="J52" s="52"/>
      <x:c r="K52" s="52"/>
    </x:row>
    <x:row r="53">
      <x:c r="A53" s="69" t="str">
        <x:f>IF(31&lt;=$C$11,31,"")</x:f>
      </x:c>
      <x:c r="B53" s="70" t="str">
        <x:f>IF(A53="","",MAX(0,B52-MAX(0,D52-C52)))</x:f>
      </x:c>
      <x:c r="C53" s="70" t="str">
        <x:f>IF(A53="","",MAX(0,C52-D52))</x:f>
      </x:c>
      <x:c r="D53" s="70" t="str">
        <x:f>IF(A53="","",IF($C$17="Capitale costante",$F$6/$C$11,IF(A53=$C$11,$F$6,0)))</x:f>
      </x:c>
      <x:c r="E53" s="70" t="str">
        <x:f>IF(A53="","",B53*$C$9/12+C53*$C$10/12)</x:f>
      </x:c>
      <x:c r="F53" s="70" t="str">
        <x:f>IF(A53="","",D53+E53)</x:f>
      </x:c>
      <x:c r="G53" s="70" t="str">
        <x:f>IF(A53="","",MAX(0,B53+C53-D53))</x:f>
      </x:c>
      <x:c r="H53" s="52"/>
      <x:c r="I53" s="52"/>
      <x:c r="J53" s="52"/>
      <x:c r="K53" s="52"/>
    </x:row>
    <x:row r="54">
      <x:c r="A54" s="69" t="str">
        <x:f>IF(32&lt;=$C$11,32,"")</x:f>
      </x:c>
      <x:c r="B54" s="70" t="str">
        <x:f>IF(A54="","",MAX(0,B53-MAX(0,D53-C53)))</x:f>
      </x:c>
      <x:c r="C54" s="70" t="str">
        <x:f>IF(A54="","",MAX(0,C53-D53))</x:f>
      </x:c>
      <x:c r="D54" s="70" t="str">
        <x:f>IF(A54="","",IF($C$17="Capitale costante",$F$6/$C$11,IF(A54=$C$11,$F$6,0)))</x:f>
      </x:c>
      <x:c r="E54" s="70" t="str">
        <x:f>IF(A54="","",B54*$C$9/12+C54*$C$10/12)</x:f>
      </x:c>
      <x:c r="F54" s="70" t="str">
        <x:f>IF(A54="","",D54+E54)</x:f>
      </x:c>
      <x:c r="G54" s="70" t="str">
        <x:f>IF(A54="","",MAX(0,B54+C54-D54))</x:f>
      </x:c>
      <x:c r="H54" s="52"/>
      <x:c r="I54" s="52"/>
      <x:c r="J54" s="52"/>
      <x:c r="K54" s="52"/>
    </x:row>
    <x:row r="55">
      <x:c r="A55" s="69" t="str">
        <x:f>IF(33&lt;=$C$11,33,"")</x:f>
      </x:c>
      <x:c r="B55" s="70" t="str">
        <x:f>IF(A55="","",MAX(0,B54-MAX(0,D54-C54)))</x:f>
      </x:c>
      <x:c r="C55" s="70" t="str">
        <x:f>IF(A55="","",MAX(0,C54-D54))</x:f>
      </x:c>
      <x:c r="D55" s="70" t="str">
        <x:f>IF(A55="","",IF($C$17="Capitale costante",$F$6/$C$11,IF(A55=$C$11,$F$6,0)))</x:f>
      </x:c>
      <x:c r="E55" s="70" t="str">
        <x:f>IF(A55="","",B55*$C$9/12+C55*$C$10/12)</x:f>
      </x:c>
      <x:c r="F55" s="70" t="str">
        <x:f>IF(A55="","",D55+E55)</x:f>
      </x:c>
      <x:c r="G55" s="70" t="str">
        <x:f>IF(A55="","",MAX(0,B55+C55-D55))</x:f>
      </x:c>
      <x:c r="H55" s="52"/>
      <x:c r="I55" s="52"/>
      <x:c r="J55" s="52"/>
      <x:c r="K55" s="52"/>
    </x:row>
    <x:row r="56">
      <x:c r="A56" s="69" t="str">
        <x:f>IF(34&lt;=$C$11,34,"")</x:f>
      </x:c>
      <x:c r="B56" s="70" t="str">
        <x:f>IF(A56="","",MAX(0,B55-MAX(0,D55-C55)))</x:f>
      </x:c>
      <x:c r="C56" s="70" t="str">
        <x:f>IF(A56="","",MAX(0,C55-D55))</x:f>
      </x:c>
      <x:c r="D56" s="70" t="str">
        <x:f>IF(A56="","",IF($C$17="Capitale costante",$F$6/$C$11,IF(A56=$C$11,$F$6,0)))</x:f>
      </x:c>
      <x:c r="E56" s="70" t="str">
        <x:f>IF(A56="","",B56*$C$9/12+C56*$C$10/12)</x:f>
      </x:c>
      <x:c r="F56" s="70" t="str">
        <x:f>IF(A56="","",D56+E56)</x:f>
      </x:c>
      <x:c r="G56" s="70" t="str">
        <x:f>IF(A56="","",MAX(0,B56+C56-D56))</x:f>
      </x:c>
      <x:c r="H56" s="52"/>
      <x:c r="I56" s="52"/>
      <x:c r="J56" s="52"/>
      <x:c r="K56" s="52"/>
    </x:row>
    <x:row r="57">
      <x:c r="A57" s="69" t="str">
        <x:f>IF(35&lt;=$C$11,35,"")</x:f>
      </x:c>
      <x:c r="B57" s="70" t="str">
        <x:f>IF(A57="","",MAX(0,B56-MAX(0,D56-C56)))</x:f>
      </x:c>
      <x:c r="C57" s="70" t="str">
        <x:f>IF(A57="","",MAX(0,C56-D56))</x:f>
      </x:c>
      <x:c r="D57" s="70" t="str">
        <x:f>IF(A57="","",IF($C$17="Capitale costante",$F$6/$C$11,IF(A57=$C$11,$F$6,0)))</x:f>
      </x:c>
      <x:c r="E57" s="70" t="str">
        <x:f>IF(A57="","",B57*$C$9/12+C57*$C$10/12)</x:f>
      </x:c>
      <x:c r="F57" s="70" t="str">
        <x:f>IF(A57="","",D57+E57)</x:f>
      </x:c>
      <x:c r="G57" s="70" t="str">
        <x:f>IF(A57="","",MAX(0,B57+C57-D57))</x:f>
      </x:c>
      <x:c r="H57" s="52"/>
      <x:c r="I57" s="52"/>
      <x:c r="J57" s="52"/>
      <x:c r="K57" s="52"/>
    </x:row>
    <x:row r="58">
      <x:c r="A58" s="69" t="str">
        <x:f>IF(36&lt;=$C$11,36,"")</x:f>
      </x:c>
      <x:c r="B58" s="70" t="str">
        <x:f>IF(A58="","",MAX(0,B57-MAX(0,D57-C57)))</x:f>
      </x:c>
      <x:c r="C58" s="70" t="str">
        <x:f>IF(A58="","",MAX(0,C57-D57))</x:f>
      </x:c>
      <x:c r="D58" s="70" t="str">
        <x:f>IF(A58="","",IF($C$17="Capitale costante",$F$6/$C$11,IF(A58=$C$11,$F$6,0)))</x:f>
      </x:c>
      <x:c r="E58" s="70" t="str">
        <x:f>IF(A58="","",B58*$C$9/12+C58*$C$10/12)</x:f>
      </x:c>
      <x:c r="F58" s="70" t="str">
        <x:f>IF(A58="","",D58+E58)</x:f>
      </x:c>
      <x:c r="G58" s="70" t="str">
        <x:f>IF(A58="","",MAX(0,B58+C58-D58))</x:f>
      </x:c>
      <x:c r="H58" s="52"/>
      <x:c r="I58" s="52"/>
      <x:c r="J58" s="52"/>
      <x:c r="K58" s="52"/>
    </x:row>
    <x:row r="59">
      <x:c r="A59" s="69" t="str">
        <x:f>IF(37&lt;=$C$11,37,"")</x:f>
      </x:c>
      <x:c r="B59" s="70" t="str">
        <x:f>IF(A59="","",MAX(0,B58-MAX(0,D58-C58)))</x:f>
      </x:c>
      <x:c r="C59" s="70" t="str">
        <x:f>IF(A59="","",MAX(0,C58-D58))</x:f>
      </x:c>
      <x:c r="D59" s="70" t="str">
        <x:f>IF(A59="","",IF($C$17="Capitale costante",$F$6/$C$11,IF(A59=$C$11,$F$6,0)))</x:f>
      </x:c>
      <x:c r="E59" s="70" t="str">
        <x:f>IF(A59="","",B59*$C$9/12+C59*$C$10/12)</x:f>
      </x:c>
      <x:c r="F59" s="70" t="str">
        <x:f>IF(A59="","",D59+E59)</x:f>
      </x:c>
      <x:c r="G59" s="70" t="str">
        <x:f>IF(A59="","",MAX(0,B59+C59-D59))</x:f>
      </x:c>
      <x:c r="H59" s="52"/>
      <x:c r="I59" s="52"/>
      <x:c r="J59" s="52"/>
      <x:c r="K59" s="52"/>
    </x:row>
    <x:row r="60">
      <x:c r="A60" s="69" t="str">
        <x:f>IF(38&lt;=$C$11,38,"")</x:f>
      </x:c>
      <x:c r="B60" s="70" t="str">
        <x:f>IF(A60="","",MAX(0,B59-MAX(0,D59-C59)))</x:f>
      </x:c>
      <x:c r="C60" s="70" t="str">
        <x:f>IF(A60="","",MAX(0,C59-D59))</x:f>
      </x:c>
      <x:c r="D60" s="70" t="str">
        <x:f>IF(A60="","",IF($C$17="Capitale costante",$F$6/$C$11,IF(A60=$C$11,$F$6,0)))</x:f>
      </x:c>
      <x:c r="E60" s="70" t="str">
        <x:f>IF(A60="","",B60*$C$9/12+C60*$C$10/12)</x:f>
      </x:c>
      <x:c r="F60" s="70" t="str">
        <x:f>IF(A60="","",D60+E60)</x:f>
      </x:c>
      <x:c r="G60" s="70" t="str">
        <x:f>IF(A60="","",MAX(0,B60+C60-D60))</x:f>
      </x:c>
      <x:c r="H60" s="52"/>
      <x:c r="I60" s="52"/>
      <x:c r="J60" s="52"/>
      <x:c r="K60" s="52"/>
    </x:row>
    <x:row r="61">
      <x:c r="A61" s="69" t="str">
        <x:f>IF(39&lt;=$C$11,39,"")</x:f>
      </x:c>
      <x:c r="B61" s="70" t="str">
        <x:f>IF(A61="","",MAX(0,B60-MAX(0,D60-C60)))</x:f>
      </x:c>
      <x:c r="C61" s="70" t="str">
        <x:f>IF(A61="","",MAX(0,C60-D60))</x:f>
      </x:c>
      <x:c r="D61" s="70" t="str">
        <x:f>IF(A61="","",IF($C$17="Capitale costante",$F$6/$C$11,IF(A61=$C$11,$F$6,0)))</x:f>
      </x:c>
      <x:c r="E61" s="70" t="str">
        <x:f>IF(A61="","",B61*$C$9/12+C61*$C$10/12)</x:f>
      </x:c>
      <x:c r="F61" s="70" t="str">
        <x:f>IF(A61="","",D61+E61)</x:f>
      </x:c>
      <x:c r="G61" s="70" t="str">
        <x:f>IF(A61="","",MAX(0,B61+C61-D61))</x:f>
      </x:c>
      <x:c r="H61" s="52"/>
      <x:c r="I61" s="52"/>
      <x:c r="J61" s="52"/>
      <x:c r="K61" s="52"/>
    </x:row>
    <x:row r="62">
      <x:c r="A62" s="69" t="str">
        <x:f>IF(40&lt;=$C$11,40,"")</x:f>
      </x:c>
      <x:c r="B62" s="70" t="str">
        <x:f>IF(A62="","",MAX(0,B61-MAX(0,D61-C61)))</x:f>
      </x:c>
      <x:c r="C62" s="70" t="str">
        <x:f>IF(A62="","",MAX(0,C61-D61))</x:f>
      </x:c>
      <x:c r="D62" s="70" t="str">
        <x:f>IF(A62="","",IF($C$17="Capitale costante",$F$6/$C$11,IF(A62=$C$11,$F$6,0)))</x:f>
      </x:c>
      <x:c r="E62" s="70" t="str">
        <x:f>IF(A62="","",B62*$C$9/12+C62*$C$10/12)</x:f>
      </x:c>
      <x:c r="F62" s="70" t="str">
        <x:f>IF(A62="","",D62+E62)</x:f>
      </x:c>
      <x:c r="G62" s="70" t="str">
        <x:f>IF(A62="","",MAX(0,B62+C62-D62))</x:f>
      </x:c>
      <x:c r="H62" s="52"/>
      <x:c r="I62" s="52"/>
      <x:c r="J62" s="52"/>
      <x:c r="K62" s="52"/>
    </x:row>
    <x:row r="63">
      <x:c r="A63" s="69" t="str">
        <x:f>IF(41&lt;=$C$11,41,"")</x:f>
      </x:c>
      <x:c r="B63" s="70" t="str">
        <x:f>IF(A63="","",MAX(0,B62-MAX(0,D62-C62)))</x:f>
      </x:c>
      <x:c r="C63" s="70" t="str">
        <x:f>IF(A63="","",MAX(0,C62-D62))</x:f>
      </x:c>
      <x:c r="D63" s="70" t="str">
        <x:f>IF(A63="","",IF($C$17="Capitale costante",$F$6/$C$11,IF(A63=$C$11,$F$6,0)))</x:f>
      </x:c>
      <x:c r="E63" s="70" t="str">
        <x:f>IF(A63="","",B63*$C$9/12+C63*$C$10/12)</x:f>
      </x:c>
      <x:c r="F63" s="70" t="str">
        <x:f>IF(A63="","",D63+E63)</x:f>
      </x:c>
      <x:c r="G63" s="70" t="str">
        <x:f>IF(A63="","",MAX(0,B63+C63-D63))</x:f>
      </x:c>
      <x:c r="H63" s="52"/>
      <x:c r="I63" s="52"/>
      <x:c r="J63" s="52"/>
      <x:c r="K63" s="52"/>
    </x:row>
    <x:row r="64">
      <x:c r="A64" s="69" t="str">
        <x:f>IF(42&lt;=$C$11,42,"")</x:f>
      </x:c>
      <x:c r="B64" s="70" t="str">
        <x:f>IF(A64="","",MAX(0,B63-MAX(0,D63-C63)))</x:f>
      </x:c>
      <x:c r="C64" s="70" t="str">
        <x:f>IF(A64="","",MAX(0,C63-D63))</x:f>
      </x:c>
      <x:c r="D64" s="70" t="str">
        <x:f>IF(A64="","",IF($C$17="Capitale costante",$F$6/$C$11,IF(A64=$C$11,$F$6,0)))</x:f>
      </x:c>
      <x:c r="E64" s="70" t="str">
        <x:f>IF(A64="","",B64*$C$9/12+C64*$C$10/12)</x:f>
      </x:c>
      <x:c r="F64" s="70" t="str">
        <x:f>IF(A64="","",D64+E64)</x:f>
      </x:c>
      <x:c r="G64" s="70" t="str">
        <x:f>IF(A64="","",MAX(0,B64+C64-D64))</x:f>
      </x:c>
      <x:c r="H64" s="52"/>
      <x:c r="I64" s="52"/>
      <x:c r="J64" s="52"/>
      <x:c r="K64" s="52"/>
    </x:row>
    <x:row r="65">
      <x:c r="A65" s="69" t="str">
        <x:f>IF(43&lt;=$C$11,43,"")</x:f>
      </x:c>
      <x:c r="B65" s="70" t="str">
        <x:f>IF(A65="","",MAX(0,B64-MAX(0,D64-C64)))</x:f>
      </x:c>
      <x:c r="C65" s="70" t="str">
        <x:f>IF(A65="","",MAX(0,C64-D64))</x:f>
      </x:c>
      <x:c r="D65" s="70" t="str">
        <x:f>IF(A65="","",IF($C$17="Capitale costante",$F$6/$C$11,IF(A65=$C$11,$F$6,0)))</x:f>
      </x:c>
      <x:c r="E65" s="70" t="str">
        <x:f>IF(A65="","",B65*$C$9/12+C65*$C$10/12)</x:f>
      </x:c>
      <x:c r="F65" s="70" t="str">
        <x:f>IF(A65="","",D65+E65)</x:f>
      </x:c>
      <x:c r="G65" s="70" t="str">
        <x:f>IF(A65="","",MAX(0,B65+C65-D65))</x:f>
      </x:c>
      <x:c r="H65" s="52"/>
      <x:c r="I65" s="52"/>
      <x:c r="J65" s="52"/>
      <x:c r="K65" s="52"/>
    </x:row>
    <x:row r="66">
      <x:c r="A66" s="69" t="str">
        <x:f>IF(44&lt;=$C$11,44,"")</x:f>
      </x:c>
      <x:c r="B66" s="70" t="str">
        <x:f>IF(A66="","",MAX(0,B65-MAX(0,D65-C65)))</x:f>
      </x:c>
      <x:c r="C66" s="70" t="str">
        <x:f>IF(A66="","",MAX(0,C65-D65))</x:f>
      </x:c>
      <x:c r="D66" s="70" t="str">
        <x:f>IF(A66="","",IF($C$17="Capitale costante",$F$6/$C$11,IF(A66=$C$11,$F$6,0)))</x:f>
      </x:c>
      <x:c r="E66" s="70" t="str">
        <x:f>IF(A66="","",B66*$C$9/12+C66*$C$10/12)</x:f>
      </x:c>
      <x:c r="F66" s="70" t="str">
        <x:f>IF(A66="","",D66+E66)</x:f>
      </x:c>
      <x:c r="G66" s="70" t="str">
        <x:f>IF(A66="","",MAX(0,B66+C66-D66))</x:f>
      </x:c>
      <x:c r="H66" s="52"/>
      <x:c r="I66" s="52"/>
      <x:c r="J66" s="52"/>
      <x:c r="K66" s="52"/>
    </x:row>
    <x:row r="67">
      <x:c r="A67" s="69" t="str">
        <x:f>IF(45&lt;=$C$11,45,"")</x:f>
      </x:c>
      <x:c r="B67" s="70" t="str">
        <x:f>IF(A67="","",MAX(0,B66-MAX(0,D66-C66)))</x:f>
      </x:c>
      <x:c r="C67" s="70" t="str">
        <x:f>IF(A67="","",MAX(0,C66-D66))</x:f>
      </x:c>
      <x:c r="D67" s="70" t="str">
        <x:f>IF(A67="","",IF($C$17="Capitale costante",$F$6/$C$11,IF(A67=$C$11,$F$6,0)))</x:f>
      </x:c>
      <x:c r="E67" s="70" t="str">
        <x:f>IF(A67="","",B67*$C$9/12+C67*$C$10/12)</x:f>
      </x:c>
      <x:c r="F67" s="70" t="str">
        <x:f>IF(A67="","",D67+E67)</x:f>
      </x:c>
      <x:c r="G67" s="70" t="str">
        <x:f>IF(A67="","",MAX(0,B67+C67-D67))</x:f>
      </x:c>
      <x:c r="H67" s="52"/>
      <x:c r="I67" s="52"/>
      <x:c r="J67" s="52"/>
      <x:c r="K67" s="52"/>
    </x:row>
    <x:row r="68">
      <x:c r="A68" s="69" t="str">
        <x:f>IF(46&lt;=$C$11,46,"")</x:f>
      </x:c>
      <x:c r="B68" s="70" t="str">
        <x:f>IF(A68="","",MAX(0,B67-MAX(0,D67-C67)))</x:f>
      </x:c>
      <x:c r="C68" s="70" t="str">
        <x:f>IF(A68="","",MAX(0,C67-D67))</x:f>
      </x:c>
      <x:c r="D68" s="70" t="str">
        <x:f>IF(A68="","",IF($C$17="Capitale costante",$F$6/$C$11,IF(A68=$C$11,$F$6,0)))</x:f>
      </x:c>
      <x:c r="E68" s="70" t="str">
        <x:f>IF(A68="","",B68*$C$9/12+C68*$C$10/12)</x:f>
      </x:c>
      <x:c r="F68" s="70" t="str">
        <x:f>IF(A68="","",D68+E68)</x:f>
      </x:c>
      <x:c r="G68" s="70" t="str">
        <x:f>IF(A68="","",MAX(0,B68+C68-D68))</x:f>
      </x:c>
      <x:c r="H68" s="52"/>
      <x:c r="I68" s="52"/>
      <x:c r="J68" s="52"/>
      <x:c r="K68" s="52"/>
    </x:row>
    <x:row r="69">
      <x:c r="A69" s="69" t="str">
        <x:f>IF(47&lt;=$C$11,47,"")</x:f>
      </x:c>
      <x:c r="B69" s="70" t="str">
        <x:f>IF(A69="","",MAX(0,B68-MAX(0,D68-C68)))</x:f>
      </x:c>
      <x:c r="C69" s="70" t="str">
        <x:f>IF(A69="","",MAX(0,C68-D68))</x:f>
      </x:c>
      <x:c r="D69" s="70" t="str">
        <x:f>IF(A69="","",IF($C$17="Capitale costante",$F$6/$C$11,IF(A69=$C$11,$F$6,0)))</x:f>
      </x:c>
      <x:c r="E69" s="70" t="str">
        <x:f>IF(A69="","",B69*$C$9/12+C69*$C$10/12)</x:f>
      </x:c>
      <x:c r="F69" s="70" t="str">
        <x:f>IF(A69="","",D69+E69)</x:f>
      </x:c>
      <x:c r="G69" s="70" t="str">
        <x:f>IF(A69="","",MAX(0,B69+C69-D69))</x:f>
      </x:c>
      <x:c r="H69" s="52"/>
      <x:c r="I69" s="52"/>
      <x:c r="J69" s="52"/>
      <x:c r="K69" s="52"/>
    </x:row>
    <x:row r="70">
      <x:c r="A70" s="69" t="str">
        <x:f>IF(48&lt;=$C$11,48,"")</x:f>
      </x:c>
      <x:c r="B70" s="70" t="str">
        <x:f>IF(A70="","",MAX(0,B69-MAX(0,D69-C69)))</x:f>
      </x:c>
      <x:c r="C70" s="70" t="str">
        <x:f>IF(A70="","",MAX(0,C69-D69))</x:f>
      </x:c>
      <x:c r="D70" s="70" t="str">
        <x:f>IF(A70="","",IF($C$17="Capitale costante",$F$6/$C$11,IF(A70=$C$11,$F$6,0)))</x:f>
      </x:c>
      <x:c r="E70" s="70" t="str">
        <x:f>IF(A70="","",B70*$C$9/12+C70*$C$10/12)</x:f>
      </x:c>
      <x:c r="F70" s="70" t="str">
        <x:f>IF(A70="","",D70+E70)</x:f>
      </x:c>
      <x:c r="G70" s="70" t="str">
        <x:f>IF(A70="","",MAX(0,B70+C70-D70))</x:f>
      </x:c>
      <x:c r="H70" s="52"/>
      <x:c r="I70" s="52"/>
      <x:c r="J70" s="52"/>
      <x:c r="K70" s="52"/>
    </x:row>
    <x:row r="71">
      <x:c r="A71" s="69" t="str">
        <x:f>IF(49&lt;=$C$11,49,"")</x:f>
      </x:c>
      <x:c r="B71" s="70" t="str">
        <x:f>IF(A71="","",MAX(0,B70-MAX(0,D70-C70)))</x:f>
      </x:c>
      <x:c r="C71" s="70" t="str">
        <x:f>IF(A71="","",MAX(0,C70-D70))</x:f>
      </x:c>
      <x:c r="D71" s="70" t="str">
        <x:f>IF(A71="","",IF($C$17="Capitale costante",$F$6/$C$11,IF(A71=$C$11,$F$6,0)))</x:f>
      </x:c>
      <x:c r="E71" s="70" t="str">
        <x:f>IF(A71="","",B71*$C$9/12+C71*$C$10/12)</x:f>
      </x:c>
      <x:c r="F71" s="70" t="str">
        <x:f>IF(A71="","",D71+E71)</x:f>
      </x:c>
      <x:c r="G71" s="70" t="str">
        <x:f>IF(A71="","",MAX(0,B71+C71-D71))</x:f>
      </x:c>
      <x:c r="H71" s="52"/>
      <x:c r="I71" s="52"/>
      <x:c r="J71" s="52"/>
      <x:c r="K71" s="52"/>
    </x:row>
    <x:row r="72">
      <x:c r="A72" s="69" t="str">
        <x:f>IF(50&lt;=$C$11,50,"")</x:f>
      </x:c>
      <x:c r="B72" s="70" t="str">
        <x:f>IF(A72="","",MAX(0,B71-MAX(0,D71-C71)))</x:f>
      </x:c>
      <x:c r="C72" s="70" t="str">
        <x:f>IF(A72="","",MAX(0,C71-D71))</x:f>
      </x:c>
      <x:c r="D72" s="70" t="str">
        <x:f>IF(A72="","",IF($C$17="Capitale costante",$F$6/$C$11,IF(A72=$C$11,$F$6,0)))</x:f>
      </x:c>
      <x:c r="E72" s="70" t="str">
        <x:f>IF(A72="","",B72*$C$9/12+C72*$C$10/12)</x:f>
      </x:c>
      <x:c r="F72" s="70" t="str">
        <x:f>IF(A72="","",D72+E72)</x:f>
      </x:c>
      <x:c r="G72" s="70" t="str">
        <x:f>IF(A72="","",MAX(0,B72+C72-D72))</x:f>
      </x:c>
      <x:c r="H72" s="52"/>
      <x:c r="I72" s="52"/>
      <x:c r="J72" s="52"/>
      <x:c r="K72" s="52"/>
    </x:row>
    <x:row r="73">
      <x:c r="A73" s="69" t="str">
        <x:f>IF(51&lt;=$C$11,51,"")</x:f>
      </x:c>
      <x:c r="B73" s="70" t="str">
        <x:f>IF(A73="","",MAX(0,B72-MAX(0,D72-C72)))</x:f>
      </x:c>
      <x:c r="C73" s="70" t="str">
        <x:f>IF(A73="","",MAX(0,C72-D72))</x:f>
      </x:c>
      <x:c r="D73" s="70" t="str">
        <x:f>IF(A73="","",IF($C$17="Capitale costante",$F$6/$C$11,IF(A73=$C$11,$F$6,0)))</x:f>
      </x:c>
      <x:c r="E73" s="70" t="str">
        <x:f>IF(A73="","",B73*$C$9/12+C73*$C$10/12)</x:f>
      </x:c>
      <x:c r="F73" s="70" t="str">
        <x:f>IF(A73="","",D73+E73)</x:f>
      </x:c>
      <x:c r="G73" s="70" t="str">
        <x:f>IF(A73="","",MAX(0,B73+C73-D73))</x:f>
      </x:c>
      <x:c r="H73" s="52"/>
      <x:c r="I73" s="52"/>
      <x:c r="J73" s="52"/>
      <x:c r="K73" s="52"/>
    </x:row>
    <x:row r="74">
      <x:c r="A74" s="69" t="str">
        <x:f>IF(52&lt;=$C$11,52,"")</x:f>
      </x:c>
      <x:c r="B74" s="70" t="str">
        <x:f>IF(A74="","",MAX(0,B73-MAX(0,D73-C73)))</x:f>
      </x:c>
      <x:c r="C74" s="70" t="str">
        <x:f>IF(A74="","",MAX(0,C73-D73))</x:f>
      </x:c>
      <x:c r="D74" s="70" t="str">
        <x:f>IF(A74="","",IF($C$17="Capitale costante",$F$6/$C$11,IF(A74=$C$11,$F$6,0)))</x:f>
      </x:c>
      <x:c r="E74" s="70" t="str">
        <x:f>IF(A74="","",B74*$C$9/12+C74*$C$10/12)</x:f>
      </x:c>
      <x:c r="F74" s="70" t="str">
        <x:f>IF(A74="","",D74+E74)</x:f>
      </x:c>
      <x:c r="G74" s="70" t="str">
        <x:f>IF(A74="","",MAX(0,B74+C74-D74))</x:f>
      </x:c>
      <x:c r="H74" s="52"/>
      <x:c r="I74" s="52"/>
      <x:c r="J74" s="52"/>
      <x:c r="K74" s="52"/>
    </x:row>
    <x:row r="75">
      <x:c r="A75" s="69" t="str">
        <x:f>IF(53&lt;=$C$11,53,"")</x:f>
      </x:c>
      <x:c r="B75" s="70" t="str">
        <x:f>IF(A75="","",MAX(0,B74-MAX(0,D74-C74)))</x:f>
      </x:c>
      <x:c r="C75" s="70" t="str">
        <x:f>IF(A75="","",MAX(0,C74-D74))</x:f>
      </x:c>
      <x:c r="D75" s="70" t="str">
        <x:f>IF(A75="","",IF($C$17="Capitale costante",$F$6/$C$11,IF(A75=$C$11,$F$6,0)))</x:f>
      </x:c>
      <x:c r="E75" s="70" t="str">
        <x:f>IF(A75="","",B75*$C$9/12+C75*$C$10/12)</x:f>
      </x:c>
      <x:c r="F75" s="70" t="str">
        <x:f>IF(A75="","",D75+E75)</x:f>
      </x:c>
      <x:c r="G75" s="70" t="str">
        <x:f>IF(A75="","",MAX(0,B75+C75-D75))</x:f>
      </x:c>
      <x:c r="H75" s="52"/>
      <x:c r="I75" s="52"/>
      <x:c r="J75" s="52"/>
      <x:c r="K75" s="52"/>
    </x:row>
    <x:row r="76">
      <x:c r="A76" s="69" t="str">
        <x:f>IF(54&lt;=$C$11,54,"")</x:f>
      </x:c>
      <x:c r="B76" s="70" t="str">
        <x:f>IF(A76="","",MAX(0,B75-MAX(0,D75-C75)))</x:f>
      </x:c>
      <x:c r="C76" s="70" t="str">
        <x:f>IF(A76="","",MAX(0,C75-D75))</x:f>
      </x:c>
      <x:c r="D76" s="70" t="str">
        <x:f>IF(A76="","",IF($C$17="Capitale costante",$F$6/$C$11,IF(A76=$C$11,$F$6,0)))</x:f>
      </x:c>
      <x:c r="E76" s="70" t="str">
        <x:f>IF(A76="","",B76*$C$9/12+C76*$C$10/12)</x:f>
      </x:c>
      <x:c r="F76" s="70" t="str">
        <x:f>IF(A76="","",D76+E76)</x:f>
      </x:c>
      <x:c r="G76" s="70" t="str">
        <x:f>IF(A76="","",MAX(0,B76+C76-D76))</x:f>
      </x:c>
      <x:c r="H76" s="52"/>
      <x:c r="I76" s="52"/>
      <x:c r="J76" s="52"/>
      <x:c r="K76" s="52"/>
    </x:row>
    <x:row r="77">
      <x:c r="A77" s="69" t="str">
        <x:f>IF(55&lt;=$C$11,55,"")</x:f>
      </x:c>
      <x:c r="B77" s="70" t="str">
        <x:f>IF(A77="","",MAX(0,B76-MAX(0,D76-C76)))</x:f>
      </x:c>
      <x:c r="C77" s="70" t="str">
        <x:f>IF(A77="","",MAX(0,C76-D76))</x:f>
      </x:c>
      <x:c r="D77" s="70" t="str">
        <x:f>IF(A77="","",IF($C$17="Capitale costante",$F$6/$C$11,IF(A77=$C$11,$F$6,0)))</x:f>
      </x:c>
      <x:c r="E77" s="70" t="str">
        <x:f>IF(A77="","",B77*$C$9/12+C77*$C$10/12)</x:f>
      </x:c>
      <x:c r="F77" s="70" t="str">
        <x:f>IF(A77="","",D77+E77)</x:f>
      </x:c>
      <x:c r="G77" s="70" t="str">
        <x:f>IF(A77="","",MAX(0,B77+C77-D77))</x:f>
      </x:c>
      <x:c r="H77" s="52"/>
      <x:c r="I77" s="52"/>
      <x:c r="J77" s="52"/>
      <x:c r="K77" s="52"/>
    </x:row>
    <x:row r="78">
      <x:c r="A78" s="69" t="str">
        <x:f>IF(56&lt;=$C$11,56,"")</x:f>
      </x:c>
      <x:c r="B78" s="70" t="str">
        <x:f>IF(A78="","",MAX(0,B77-MAX(0,D77-C77)))</x:f>
      </x:c>
      <x:c r="C78" s="70" t="str">
        <x:f>IF(A78="","",MAX(0,C77-D77))</x:f>
      </x:c>
      <x:c r="D78" s="70" t="str">
        <x:f>IF(A78="","",IF($C$17="Capitale costante",$F$6/$C$11,IF(A78=$C$11,$F$6,0)))</x:f>
      </x:c>
      <x:c r="E78" s="70" t="str">
        <x:f>IF(A78="","",B78*$C$9/12+C78*$C$10/12)</x:f>
      </x:c>
      <x:c r="F78" s="70" t="str">
        <x:f>IF(A78="","",D78+E78)</x:f>
      </x:c>
      <x:c r="G78" s="70" t="str">
        <x:f>IF(A78="","",MAX(0,B78+C78-D78))</x:f>
      </x:c>
      <x:c r="H78" s="52"/>
      <x:c r="I78" s="52"/>
      <x:c r="J78" s="52"/>
      <x:c r="K78" s="52"/>
    </x:row>
    <x:row r="79">
      <x:c r="A79" s="69" t="str">
        <x:f>IF(57&lt;=$C$11,57,"")</x:f>
      </x:c>
      <x:c r="B79" s="70" t="str">
        <x:f>IF(A79="","",MAX(0,B78-MAX(0,D78-C78)))</x:f>
      </x:c>
      <x:c r="C79" s="70" t="str">
        <x:f>IF(A79="","",MAX(0,C78-D78))</x:f>
      </x:c>
      <x:c r="D79" s="70" t="str">
        <x:f>IF(A79="","",IF($C$17="Capitale costante",$F$6/$C$11,IF(A79=$C$11,$F$6,0)))</x:f>
      </x:c>
      <x:c r="E79" s="70" t="str">
        <x:f>IF(A79="","",B79*$C$9/12+C79*$C$10/12)</x:f>
      </x:c>
      <x:c r="F79" s="70" t="str">
        <x:f>IF(A79="","",D79+E79)</x:f>
      </x:c>
      <x:c r="G79" s="70" t="str">
        <x:f>IF(A79="","",MAX(0,B79+C79-D79))</x:f>
      </x:c>
      <x:c r="H79" s="52"/>
      <x:c r="I79" s="52"/>
      <x:c r="J79" s="52"/>
      <x:c r="K79" s="52"/>
    </x:row>
    <x:row r="80">
      <x:c r="A80" s="69" t="str">
        <x:f>IF(58&lt;=$C$11,58,"")</x:f>
      </x:c>
      <x:c r="B80" s="70" t="str">
        <x:f>IF(A80="","",MAX(0,B79-MAX(0,D79-C79)))</x:f>
      </x:c>
      <x:c r="C80" s="70" t="str">
        <x:f>IF(A80="","",MAX(0,C79-D79))</x:f>
      </x:c>
      <x:c r="D80" s="70" t="str">
        <x:f>IF(A80="","",IF($C$17="Capitale costante",$F$6/$C$11,IF(A80=$C$11,$F$6,0)))</x:f>
      </x:c>
      <x:c r="E80" s="70" t="str">
        <x:f>IF(A80="","",B80*$C$9/12+C80*$C$10/12)</x:f>
      </x:c>
      <x:c r="F80" s="70" t="str">
        <x:f>IF(A80="","",D80+E80)</x:f>
      </x:c>
      <x:c r="G80" s="70" t="str">
        <x:f>IF(A80="","",MAX(0,B80+C80-D80))</x:f>
      </x:c>
      <x:c r="H80" s="52"/>
      <x:c r="I80" s="52"/>
      <x:c r="J80" s="52"/>
      <x:c r="K80" s="52"/>
    </x:row>
    <x:row r="81">
      <x:c r="A81" s="69" t="str">
        <x:f>IF(59&lt;=$C$11,59,"")</x:f>
      </x:c>
      <x:c r="B81" s="70" t="str">
        <x:f>IF(A81="","",MAX(0,B80-MAX(0,D80-C80)))</x:f>
      </x:c>
      <x:c r="C81" s="70" t="str">
        <x:f>IF(A81="","",MAX(0,C80-D80))</x:f>
      </x:c>
      <x:c r="D81" s="70" t="str">
        <x:f>IF(A81="","",IF($C$17="Capitale costante",$F$6/$C$11,IF(A81=$C$11,$F$6,0)))</x:f>
      </x:c>
      <x:c r="E81" s="70" t="str">
        <x:f>IF(A81="","",B81*$C$9/12+C81*$C$10/12)</x:f>
      </x:c>
      <x:c r="F81" s="70" t="str">
        <x:f>IF(A81="","",D81+E81)</x:f>
      </x:c>
      <x:c r="G81" s="70" t="str">
        <x:f>IF(A81="","",MAX(0,B81+C81-D81))</x:f>
      </x:c>
      <x:c r="H81" s="52"/>
      <x:c r="I81" s="52"/>
      <x:c r="J81" s="52"/>
      <x:c r="K81" s="52"/>
    </x:row>
    <x:row r="82">
      <x:c r="A82" s="69" t="str">
        <x:f>IF(60&lt;=$C$11,60,"")</x:f>
      </x:c>
      <x:c r="B82" s="70" t="str">
        <x:f>IF(A82="","",MAX(0,B81-MAX(0,D81-C81)))</x:f>
      </x:c>
      <x:c r="C82" s="70" t="str">
        <x:f>IF(A82="","",MAX(0,C81-D81))</x:f>
      </x:c>
      <x:c r="D82" s="70" t="str">
        <x:f>IF(A82="","",IF($C$17="Capitale costante",$F$6/$C$11,IF(A82=$C$11,$F$6,0)))</x:f>
      </x:c>
      <x:c r="E82" s="70" t="str">
        <x:f>IF(A82="","",B82*$C$9/12+C82*$C$10/12)</x:f>
      </x:c>
      <x:c r="F82" s="70" t="str">
        <x:f>IF(A82="","",D82+E82)</x:f>
      </x:c>
      <x:c r="G82" s="70" t="str">
        <x:f>IF(A82="","",MAX(0,B82+C82-D82))</x:f>
      </x:c>
      <x:c r="H82" s="52"/>
      <x:c r="I82" s="52"/>
      <x:c r="J82" s="52"/>
      <x:c r="K82" s="52"/>
    </x:row>
    <x:row r="83">
      <x:c r="A83" s="69" t="str">
        <x:f>IF(61&lt;=$C$11,61,"")</x:f>
      </x:c>
      <x:c r="B83" s="70" t="str">
        <x:f>IF(A83="","",MAX(0,B82-MAX(0,D82-C82)))</x:f>
      </x:c>
      <x:c r="C83" s="70" t="str">
        <x:f>IF(A83="","",MAX(0,C82-D82))</x:f>
      </x:c>
      <x:c r="D83" s="70" t="str">
        <x:f>IF(A83="","",IF($C$17="Capitale costante",$F$6/$C$11,IF(A83=$C$11,$F$6,0)))</x:f>
      </x:c>
      <x:c r="E83" s="70" t="str">
        <x:f>IF(A83="","",B83*$C$9/12+C83*$C$10/12)</x:f>
      </x:c>
      <x:c r="F83" s="70" t="str">
        <x:f>IF(A83="","",D83+E83)</x:f>
      </x:c>
      <x:c r="G83" s="70" t="str">
        <x:f>IF(A83="","",MAX(0,B83+C83-D83))</x:f>
      </x:c>
      <x:c r="H83" s="52"/>
      <x:c r="I83" s="52"/>
      <x:c r="J83" s="52"/>
      <x:c r="K83" s="52"/>
    </x:row>
    <x:row r="84">
      <x:c r="A84" s="69" t="str">
        <x:f>IF(62&lt;=$C$11,62,"")</x:f>
      </x:c>
      <x:c r="B84" s="70" t="str">
        <x:f>IF(A84="","",MAX(0,B83-MAX(0,D83-C83)))</x:f>
      </x:c>
      <x:c r="C84" s="70" t="str">
        <x:f>IF(A84="","",MAX(0,C83-D83))</x:f>
      </x:c>
      <x:c r="D84" s="70" t="str">
        <x:f>IF(A84="","",IF($C$17="Capitale costante",$F$6/$C$11,IF(A84=$C$11,$F$6,0)))</x:f>
      </x:c>
      <x:c r="E84" s="70" t="str">
        <x:f>IF(A84="","",B84*$C$9/12+C84*$C$10/12)</x:f>
      </x:c>
      <x:c r="F84" s="70" t="str">
        <x:f>IF(A84="","",D84+E84)</x:f>
      </x:c>
      <x:c r="G84" s="70" t="str">
        <x:f>IF(A84="","",MAX(0,B84+C84-D84))</x:f>
      </x:c>
      <x:c r="H84" s="52"/>
      <x:c r="I84" s="52"/>
      <x:c r="J84" s="52"/>
      <x:c r="K84" s="52"/>
    </x:row>
    <x:row r="85">
      <x:c r="A85" s="69" t="str">
        <x:f>IF(63&lt;=$C$11,63,"")</x:f>
      </x:c>
      <x:c r="B85" s="70" t="str">
        <x:f>IF(A85="","",MAX(0,B84-MAX(0,D84-C84)))</x:f>
      </x:c>
      <x:c r="C85" s="70" t="str">
        <x:f>IF(A85="","",MAX(0,C84-D84))</x:f>
      </x:c>
      <x:c r="D85" s="70" t="str">
        <x:f>IF(A85="","",IF($C$17="Capitale costante",$F$6/$C$11,IF(A85=$C$11,$F$6,0)))</x:f>
      </x:c>
      <x:c r="E85" s="70" t="str">
        <x:f>IF(A85="","",B85*$C$9/12+C85*$C$10/12)</x:f>
      </x:c>
      <x:c r="F85" s="70" t="str">
        <x:f>IF(A85="","",D85+E85)</x:f>
      </x:c>
      <x:c r="G85" s="70" t="str">
        <x:f>IF(A85="","",MAX(0,B85+C85-D85))</x:f>
      </x:c>
      <x:c r="H85" s="52"/>
      <x:c r="I85" s="52"/>
      <x:c r="J85" s="52"/>
      <x:c r="K85" s="52"/>
    </x:row>
    <x:row r="86">
      <x:c r="A86" s="69" t="str">
        <x:f>IF(64&lt;=$C$11,64,"")</x:f>
      </x:c>
      <x:c r="B86" s="70" t="str">
        <x:f>IF(A86="","",MAX(0,B85-MAX(0,D85-C85)))</x:f>
      </x:c>
      <x:c r="C86" s="70" t="str">
        <x:f>IF(A86="","",MAX(0,C85-D85))</x:f>
      </x:c>
      <x:c r="D86" s="70" t="str">
        <x:f>IF(A86="","",IF($C$17="Capitale costante",$F$6/$C$11,IF(A86=$C$11,$F$6,0)))</x:f>
      </x:c>
      <x:c r="E86" s="70" t="str">
        <x:f>IF(A86="","",B86*$C$9/12+C86*$C$10/12)</x:f>
      </x:c>
      <x:c r="F86" s="70" t="str">
        <x:f>IF(A86="","",D86+E86)</x:f>
      </x:c>
      <x:c r="G86" s="70" t="str">
        <x:f>IF(A86="","",MAX(0,B86+C86-D86))</x:f>
      </x:c>
      <x:c r="H86" s="52"/>
      <x:c r="I86" s="52"/>
      <x:c r="J86" s="52"/>
      <x:c r="K86" s="52"/>
    </x:row>
    <x:row r="87">
      <x:c r="A87" s="69" t="str">
        <x:f>IF(65&lt;=$C$11,65,"")</x:f>
      </x:c>
      <x:c r="B87" s="70" t="str">
        <x:f>IF(A87="","",MAX(0,B86-MAX(0,D86-C86)))</x:f>
      </x:c>
      <x:c r="C87" s="70" t="str">
        <x:f>IF(A87="","",MAX(0,C86-D86))</x:f>
      </x:c>
      <x:c r="D87" s="70" t="str">
        <x:f>IF(A87="","",IF($C$17="Capitale costante",$F$6/$C$11,IF(A87=$C$11,$F$6,0)))</x:f>
      </x:c>
      <x:c r="E87" s="70" t="str">
        <x:f>IF(A87="","",B87*$C$9/12+C87*$C$10/12)</x:f>
      </x:c>
      <x:c r="F87" s="70" t="str">
        <x:f>IF(A87="","",D87+E87)</x:f>
      </x:c>
      <x:c r="G87" s="70" t="str">
        <x:f>IF(A87="","",MAX(0,B87+C87-D87))</x:f>
      </x:c>
      <x:c r="H87" s="52"/>
      <x:c r="I87" s="52"/>
      <x:c r="J87" s="52"/>
      <x:c r="K87" s="52"/>
    </x:row>
    <x:row r="88">
      <x:c r="A88" s="69" t="str">
        <x:f>IF(66&lt;=$C$11,66,"")</x:f>
      </x:c>
      <x:c r="B88" s="70" t="str">
        <x:f>IF(A88="","",MAX(0,B87-MAX(0,D87-C87)))</x:f>
      </x:c>
      <x:c r="C88" s="70" t="str">
        <x:f>IF(A88="","",MAX(0,C87-D87))</x:f>
      </x:c>
      <x:c r="D88" s="70" t="str">
        <x:f>IF(A88="","",IF($C$17="Capitale costante",$F$6/$C$11,IF(A88=$C$11,$F$6,0)))</x:f>
      </x:c>
      <x:c r="E88" s="70" t="str">
        <x:f>IF(A88="","",B88*$C$9/12+C88*$C$10/12)</x:f>
      </x:c>
      <x:c r="F88" s="70" t="str">
        <x:f>IF(A88="","",D88+E88)</x:f>
      </x:c>
      <x:c r="G88" s="70" t="str">
        <x:f>IF(A88="","",MAX(0,B88+C88-D88))</x:f>
      </x:c>
      <x:c r="H88" s="52"/>
      <x:c r="I88" s="52"/>
      <x:c r="J88" s="52"/>
      <x:c r="K88" s="52"/>
    </x:row>
    <x:row r="89">
      <x:c r="A89" s="69" t="str">
        <x:f>IF(67&lt;=$C$11,67,"")</x:f>
      </x:c>
      <x:c r="B89" s="70" t="str">
        <x:f>IF(A89="","",MAX(0,B88-MAX(0,D88-C88)))</x:f>
      </x:c>
      <x:c r="C89" s="70" t="str">
        <x:f>IF(A89="","",MAX(0,C88-D88))</x:f>
      </x:c>
      <x:c r="D89" s="70" t="str">
        <x:f>IF(A89="","",IF($C$17="Capitale costante",$F$6/$C$11,IF(A89=$C$11,$F$6,0)))</x:f>
      </x:c>
      <x:c r="E89" s="70" t="str">
        <x:f>IF(A89="","",B89*$C$9/12+C89*$C$10/12)</x:f>
      </x:c>
      <x:c r="F89" s="70" t="str">
        <x:f>IF(A89="","",D89+E89)</x:f>
      </x:c>
      <x:c r="G89" s="70" t="str">
        <x:f>IF(A89="","",MAX(0,B89+C89-D89))</x:f>
      </x:c>
      <x:c r="H89" s="52"/>
      <x:c r="I89" s="52"/>
      <x:c r="J89" s="52"/>
      <x:c r="K89" s="52"/>
    </x:row>
    <x:row r="90">
      <x:c r="A90" s="69" t="str">
        <x:f>IF(68&lt;=$C$11,68,"")</x:f>
      </x:c>
      <x:c r="B90" s="70" t="str">
        <x:f>IF(A90="","",MAX(0,B89-MAX(0,D89-C89)))</x:f>
      </x:c>
      <x:c r="C90" s="70" t="str">
        <x:f>IF(A90="","",MAX(0,C89-D89))</x:f>
      </x:c>
      <x:c r="D90" s="70" t="str">
        <x:f>IF(A90="","",IF($C$17="Capitale costante",$F$6/$C$11,IF(A90=$C$11,$F$6,0)))</x:f>
      </x:c>
      <x:c r="E90" s="70" t="str">
        <x:f>IF(A90="","",B90*$C$9/12+C90*$C$10/12)</x:f>
      </x:c>
      <x:c r="F90" s="70" t="str">
        <x:f>IF(A90="","",D90+E90)</x:f>
      </x:c>
      <x:c r="G90" s="70" t="str">
        <x:f>IF(A90="","",MAX(0,B90+C90-D90))</x:f>
      </x:c>
      <x:c r="H90" s="52"/>
      <x:c r="I90" s="52"/>
      <x:c r="J90" s="52"/>
      <x:c r="K90" s="52"/>
    </x:row>
    <x:row r="91">
      <x:c r="A91" s="69" t="str">
        <x:f>IF(69&lt;=$C$11,69,"")</x:f>
      </x:c>
      <x:c r="B91" s="70" t="str">
        <x:f>IF(A91="","",MAX(0,B90-MAX(0,D90-C90)))</x:f>
      </x:c>
      <x:c r="C91" s="70" t="str">
        <x:f>IF(A91="","",MAX(0,C90-D90))</x:f>
      </x:c>
      <x:c r="D91" s="70" t="str">
        <x:f>IF(A91="","",IF($C$17="Capitale costante",$F$6/$C$11,IF(A91=$C$11,$F$6,0)))</x:f>
      </x:c>
      <x:c r="E91" s="70" t="str">
        <x:f>IF(A91="","",B91*$C$9/12+C91*$C$10/12)</x:f>
      </x:c>
      <x:c r="F91" s="70" t="str">
        <x:f>IF(A91="","",D91+E91)</x:f>
      </x:c>
      <x:c r="G91" s="70" t="str">
        <x:f>IF(A91="","",MAX(0,B91+C91-D91))</x:f>
      </x:c>
      <x:c r="H91" s="52"/>
      <x:c r="I91" s="52"/>
      <x:c r="J91" s="52"/>
      <x:c r="K91" s="52"/>
    </x:row>
    <x:row r="92">
      <x:c r="A92" s="69" t="str">
        <x:f>IF(70&lt;=$C$11,70,"")</x:f>
      </x:c>
      <x:c r="B92" s="70" t="str">
        <x:f>IF(A92="","",MAX(0,B91-MAX(0,D91-C91)))</x:f>
      </x:c>
      <x:c r="C92" s="70" t="str">
        <x:f>IF(A92="","",MAX(0,C91-D91))</x:f>
      </x:c>
      <x:c r="D92" s="70" t="str">
        <x:f>IF(A92="","",IF($C$17="Capitale costante",$F$6/$C$11,IF(A92=$C$11,$F$6,0)))</x:f>
      </x:c>
      <x:c r="E92" s="70" t="str">
        <x:f>IF(A92="","",B92*$C$9/12+C92*$C$10/12)</x:f>
      </x:c>
      <x:c r="F92" s="70" t="str">
        <x:f>IF(A92="","",D92+E92)</x:f>
      </x:c>
      <x:c r="G92" s="70" t="str">
        <x:f>IF(A92="","",MAX(0,B92+C92-D92))</x:f>
      </x:c>
      <x:c r="H92" s="52"/>
      <x:c r="I92" s="52"/>
      <x:c r="J92" s="52"/>
      <x:c r="K92" s="52"/>
    </x:row>
    <x:row r="93">
      <x:c r="A93" s="69" t="str">
        <x:f>IF(71&lt;=$C$11,71,"")</x:f>
      </x:c>
      <x:c r="B93" s="70" t="str">
        <x:f>IF(A93="","",MAX(0,B92-MAX(0,D92-C92)))</x:f>
      </x:c>
      <x:c r="C93" s="70" t="str">
        <x:f>IF(A93="","",MAX(0,C92-D92))</x:f>
      </x:c>
      <x:c r="D93" s="70" t="str">
        <x:f>IF(A93="","",IF($C$17="Capitale costante",$F$6/$C$11,IF(A93=$C$11,$F$6,0)))</x:f>
      </x:c>
      <x:c r="E93" s="70" t="str">
        <x:f>IF(A93="","",B93*$C$9/12+C93*$C$10/12)</x:f>
      </x:c>
      <x:c r="F93" s="70" t="str">
        <x:f>IF(A93="","",D93+E93)</x:f>
      </x:c>
      <x:c r="G93" s="70" t="str">
        <x:f>IF(A93="","",MAX(0,B93+C93-D93))</x:f>
      </x:c>
      <x:c r="H93" s="52"/>
      <x:c r="I93" s="52"/>
      <x:c r="J93" s="52"/>
      <x:c r="K93" s="52"/>
    </x:row>
    <x:row r="94">
      <x:c r="A94" s="69" t="str">
        <x:f>IF(72&lt;=$C$11,72,"")</x:f>
      </x:c>
      <x:c r="B94" s="70" t="str">
        <x:f>IF(A94="","",MAX(0,B93-MAX(0,D93-C93)))</x:f>
      </x:c>
      <x:c r="C94" s="70" t="str">
        <x:f>IF(A94="","",MAX(0,C93-D93))</x:f>
      </x:c>
      <x:c r="D94" s="70" t="str">
        <x:f>IF(A94="","",IF($C$17="Capitale costante",$F$6/$C$11,IF(A94=$C$11,$F$6,0)))</x:f>
      </x:c>
      <x:c r="E94" s="70" t="str">
        <x:f>IF(A94="","",B94*$C$9/12+C94*$C$10/12)</x:f>
      </x:c>
      <x:c r="F94" s="70" t="str">
        <x:f>IF(A94="","",D94+E94)</x:f>
      </x:c>
      <x:c r="G94" s="70" t="str">
        <x:f>IF(A94="","",MAX(0,B94+C94-D94))</x:f>
      </x:c>
      <x:c r="H94" s="52"/>
      <x:c r="I94" s="52"/>
      <x:c r="J94" s="52"/>
      <x:c r="K94" s="52"/>
    </x:row>
    <x:row r="95">
      <x:c r="A95" s="69" t="str">
        <x:f>IF(73&lt;=$C$11,73,"")</x:f>
      </x:c>
      <x:c r="B95" s="70" t="str">
        <x:f>IF(A95="","",MAX(0,B94-MAX(0,D94-C94)))</x:f>
      </x:c>
      <x:c r="C95" s="70" t="str">
        <x:f>IF(A95="","",MAX(0,C94-D94))</x:f>
      </x:c>
      <x:c r="D95" s="70" t="str">
        <x:f>IF(A95="","",IF($C$17="Capitale costante",$F$6/$C$11,IF(A95=$C$11,$F$6,0)))</x:f>
      </x:c>
      <x:c r="E95" s="70" t="str">
        <x:f>IF(A95="","",B95*$C$9/12+C95*$C$10/12)</x:f>
      </x:c>
      <x:c r="F95" s="70" t="str">
        <x:f>IF(A95="","",D95+E95)</x:f>
      </x:c>
      <x:c r="G95" s="70" t="str">
        <x:f>IF(A95="","",MAX(0,B95+C95-D95))</x:f>
      </x:c>
      <x:c r="H95" s="52"/>
      <x:c r="I95" s="52"/>
      <x:c r="J95" s="52"/>
      <x:c r="K95" s="52"/>
    </x:row>
    <x:row r="96">
      <x:c r="A96" s="69" t="str">
        <x:f>IF(74&lt;=$C$11,74,"")</x:f>
      </x:c>
      <x:c r="B96" s="70" t="str">
        <x:f>IF(A96="","",MAX(0,B95-MAX(0,D95-C95)))</x:f>
      </x:c>
      <x:c r="C96" s="70" t="str">
        <x:f>IF(A96="","",MAX(0,C95-D95))</x:f>
      </x:c>
      <x:c r="D96" s="70" t="str">
        <x:f>IF(A96="","",IF($C$17="Capitale costante",$F$6/$C$11,IF(A96=$C$11,$F$6,0)))</x:f>
      </x:c>
      <x:c r="E96" s="70" t="str">
        <x:f>IF(A96="","",B96*$C$9/12+C96*$C$10/12)</x:f>
      </x:c>
      <x:c r="F96" s="70" t="str">
        <x:f>IF(A96="","",D96+E96)</x:f>
      </x:c>
      <x:c r="G96" s="70" t="str">
        <x:f>IF(A96="","",MAX(0,B96+C96-D96))</x:f>
      </x:c>
      <x:c r="H96" s="52"/>
      <x:c r="I96" s="52"/>
      <x:c r="J96" s="52"/>
      <x:c r="K96" s="52"/>
    </x:row>
    <x:row r="97">
      <x:c r="A97" s="69" t="str">
        <x:f>IF(75&lt;=$C$11,75,"")</x:f>
      </x:c>
      <x:c r="B97" s="70" t="str">
        <x:f>IF(A97="","",MAX(0,B96-MAX(0,D96-C96)))</x:f>
      </x:c>
      <x:c r="C97" s="70" t="str">
        <x:f>IF(A97="","",MAX(0,C96-D96))</x:f>
      </x:c>
      <x:c r="D97" s="70" t="str">
        <x:f>IF(A97="","",IF($C$17="Capitale costante",$F$6/$C$11,IF(A97=$C$11,$F$6,0)))</x:f>
      </x:c>
      <x:c r="E97" s="70" t="str">
        <x:f>IF(A97="","",B97*$C$9/12+C97*$C$10/12)</x:f>
      </x:c>
      <x:c r="F97" s="70" t="str">
        <x:f>IF(A97="","",D97+E97)</x:f>
      </x:c>
      <x:c r="G97" s="70" t="str">
        <x:f>IF(A97="","",MAX(0,B97+C97-D97))</x:f>
      </x:c>
      <x:c r="H97" s="52"/>
      <x:c r="I97" s="52"/>
      <x:c r="J97" s="52"/>
      <x:c r="K97" s="52"/>
    </x:row>
    <x:row r="98">
      <x:c r="A98" s="69" t="str">
        <x:f>IF(76&lt;=$C$11,76,"")</x:f>
      </x:c>
      <x:c r="B98" s="70" t="str">
        <x:f>IF(A98="","",MAX(0,B97-MAX(0,D97-C97)))</x:f>
      </x:c>
      <x:c r="C98" s="70" t="str">
        <x:f>IF(A98="","",MAX(0,C97-D97))</x:f>
      </x:c>
      <x:c r="D98" s="70" t="str">
        <x:f>IF(A98="","",IF($C$17="Capitale costante",$F$6/$C$11,IF(A98=$C$11,$F$6,0)))</x:f>
      </x:c>
      <x:c r="E98" s="70" t="str">
        <x:f>IF(A98="","",B98*$C$9/12+C98*$C$10/12)</x:f>
      </x:c>
      <x:c r="F98" s="70" t="str">
        <x:f>IF(A98="","",D98+E98)</x:f>
      </x:c>
      <x:c r="G98" s="70" t="str">
        <x:f>IF(A98="","",MAX(0,B98+C98-D98))</x:f>
      </x:c>
      <x:c r="H98" s="52"/>
      <x:c r="I98" s="52"/>
      <x:c r="J98" s="52"/>
      <x:c r="K98" s="52"/>
    </x:row>
    <x:row r="99">
      <x:c r="A99" s="69" t="str">
        <x:f>IF(77&lt;=$C$11,77,"")</x:f>
      </x:c>
      <x:c r="B99" s="70" t="str">
        <x:f>IF(A99="","",MAX(0,B98-MAX(0,D98-C98)))</x:f>
      </x:c>
      <x:c r="C99" s="70" t="str">
        <x:f>IF(A99="","",MAX(0,C98-D98))</x:f>
      </x:c>
      <x:c r="D99" s="70" t="str">
        <x:f>IF(A99="","",IF($C$17="Capitale costante",$F$6/$C$11,IF(A99=$C$11,$F$6,0)))</x:f>
      </x:c>
      <x:c r="E99" s="70" t="str">
        <x:f>IF(A99="","",B99*$C$9/12+C99*$C$10/12)</x:f>
      </x:c>
      <x:c r="F99" s="70" t="str">
        <x:f>IF(A99="","",D99+E99)</x:f>
      </x:c>
      <x:c r="G99" s="70" t="str">
        <x:f>IF(A99="","",MAX(0,B99+C99-D99))</x:f>
      </x:c>
      <x:c r="H99" s="52"/>
      <x:c r="I99" s="52"/>
      <x:c r="J99" s="52"/>
      <x:c r="K99" s="52"/>
    </x:row>
    <x:row r="100">
      <x:c r="A100" s="69" t="str">
        <x:f>IF(78&lt;=$C$11,78,"")</x:f>
      </x:c>
      <x:c r="B100" s="70" t="str">
        <x:f>IF(A100="","",MAX(0,B99-MAX(0,D99-C99)))</x:f>
      </x:c>
      <x:c r="C100" s="70" t="str">
        <x:f>IF(A100="","",MAX(0,C99-D99))</x:f>
      </x:c>
      <x:c r="D100" s="70" t="str">
        <x:f>IF(A100="","",IF($C$17="Capitale costante",$F$6/$C$11,IF(A100=$C$11,$F$6,0)))</x:f>
      </x:c>
      <x:c r="E100" s="70" t="str">
        <x:f>IF(A100="","",B100*$C$9/12+C100*$C$10/12)</x:f>
      </x:c>
      <x:c r="F100" s="70" t="str">
        <x:f>IF(A100="","",D100+E100)</x:f>
      </x:c>
      <x:c r="G100" s="70" t="str">
        <x:f>IF(A100="","",MAX(0,B100+C100-D100))</x:f>
      </x:c>
      <x:c r="H100" s="52"/>
      <x:c r="I100" s="52"/>
      <x:c r="J100" s="52"/>
      <x:c r="K100" s="52"/>
    </x:row>
    <x:row r="101">
      <x:c r="A101" s="69" t="str">
        <x:f>IF(79&lt;=$C$11,79,"")</x:f>
      </x:c>
      <x:c r="B101" s="70" t="str">
        <x:f>IF(A101="","",MAX(0,B100-MAX(0,D100-C100)))</x:f>
      </x:c>
      <x:c r="C101" s="70" t="str">
        <x:f>IF(A101="","",MAX(0,C100-D100))</x:f>
      </x:c>
      <x:c r="D101" s="70" t="str">
        <x:f>IF(A101="","",IF($C$17="Capitale costante",$F$6/$C$11,IF(A101=$C$11,$F$6,0)))</x:f>
      </x:c>
      <x:c r="E101" s="70" t="str">
        <x:f>IF(A101="","",B101*$C$9/12+C101*$C$10/12)</x:f>
      </x:c>
      <x:c r="F101" s="70" t="str">
        <x:f>IF(A101="","",D101+E101)</x:f>
      </x:c>
      <x:c r="G101" s="70" t="str">
        <x:f>IF(A101="","",MAX(0,B101+C101-D101))</x:f>
      </x:c>
      <x:c r="H101" s="52"/>
      <x:c r="I101" s="52"/>
      <x:c r="J101" s="52"/>
      <x:c r="K101" s="52"/>
    </x:row>
    <x:row r="102">
      <x:c r="A102" s="69" t="str">
        <x:f>IF(80&lt;=$C$11,80,"")</x:f>
      </x:c>
      <x:c r="B102" s="70" t="str">
        <x:f>IF(A102="","",MAX(0,B101-MAX(0,D101-C101)))</x:f>
      </x:c>
      <x:c r="C102" s="70" t="str">
        <x:f>IF(A102="","",MAX(0,C101-D101))</x:f>
      </x:c>
      <x:c r="D102" s="70" t="str">
        <x:f>IF(A102="","",IF($C$17="Capitale costante",$F$6/$C$11,IF(A102=$C$11,$F$6,0)))</x:f>
      </x:c>
      <x:c r="E102" s="70" t="str">
        <x:f>IF(A102="","",B102*$C$9/12+C102*$C$10/12)</x:f>
      </x:c>
      <x:c r="F102" s="70" t="str">
        <x:f>IF(A102="","",D102+E102)</x:f>
      </x:c>
      <x:c r="G102" s="70" t="str">
        <x:f>IF(A102="","",MAX(0,B102+C102-D102))</x:f>
      </x:c>
      <x:c r="H102" s="52"/>
      <x:c r="I102" s="52"/>
      <x:c r="J102" s="52"/>
      <x:c r="K102" s="52"/>
    </x:row>
    <x:row r="103">
      <x:c r="A103" s="69" t="str">
        <x:f>IF(81&lt;=$C$11,81,"")</x:f>
      </x:c>
      <x:c r="B103" s="70" t="str">
        <x:f>IF(A103="","",MAX(0,B102-MAX(0,D102-C102)))</x:f>
      </x:c>
      <x:c r="C103" s="70" t="str">
        <x:f>IF(A103="","",MAX(0,C102-D102))</x:f>
      </x:c>
      <x:c r="D103" s="70" t="str">
        <x:f>IF(A103="","",IF($C$17="Capitale costante",$F$6/$C$11,IF(A103=$C$11,$F$6,0)))</x:f>
      </x:c>
      <x:c r="E103" s="70" t="str">
        <x:f>IF(A103="","",B103*$C$9/12+C103*$C$10/12)</x:f>
      </x:c>
      <x:c r="F103" s="70" t="str">
        <x:f>IF(A103="","",D103+E103)</x:f>
      </x:c>
      <x:c r="G103" s="70" t="str">
        <x:f>IF(A103="","",MAX(0,B103+C103-D103))</x:f>
      </x:c>
      <x:c r="H103" s="52"/>
      <x:c r="I103" s="52"/>
      <x:c r="J103" s="52"/>
      <x:c r="K103" s="52"/>
    </x:row>
    <x:row r="104">
      <x:c r="A104" s="69" t="str">
        <x:f>IF(82&lt;=$C$11,82,"")</x:f>
      </x:c>
      <x:c r="B104" s="70" t="str">
        <x:f>IF(A104="","",MAX(0,B103-MAX(0,D103-C103)))</x:f>
      </x:c>
      <x:c r="C104" s="70" t="str">
        <x:f>IF(A104="","",MAX(0,C103-D103))</x:f>
      </x:c>
      <x:c r="D104" s="70" t="str">
        <x:f>IF(A104="","",IF($C$17="Capitale costante",$F$6/$C$11,IF(A104=$C$11,$F$6,0)))</x:f>
      </x:c>
      <x:c r="E104" s="70" t="str">
        <x:f>IF(A104="","",B104*$C$9/12+C104*$C$10/12)</x:f>
      </x:c>
      <x:c r="F104" s="70" t="str">
        <x:f>IF(A104="","",D104+E104)</x:f>
      </x:c>
      <x:c r="G104" s="70" t="str">
        <x:f>IF(A104="","",MAX(0,B104+C104-D104))</x:f>
      </x:c>
      <x:c r="H104" s="52"/>
      <x:c r="I104" s="52"/>
      <x:c r="J104" s="52"/>
      <x:c r="K104" s="52"/>
    </x:row>
    <x:row r="105">
      <x:c r="A105" s="69" t="str">
        <x:f>IF(83&lt;=$C$11,83,"")</x:f>
      </x:c>
      <x:c r="B105" s="70" t="str">
        <x:f>IF(A105="","",MAX(0,B104-MAX(0,D104-C104)))</x:f>
      </x:c>
      <x:c r="C105" s="70" t="str">
        <x:f>IF(A105="","",MAX(0,C104-D104))</x:f>
      </x:c>
      <x:c r="D105" s="70" t="str">
        <x:f>IF(A105="","",IF($C$17="Capitale costante",$F$6/$C$11,IF(A105=$C$11,$F$6,0)))</x:f>
      </x:c>
      <x:c r="E105" s="70" t="str">
        <x:f>IF(A105="","",B105*$C$9/12+C105*$C$10/12)</x:f>
      </x:c>
      <x:c r="F105" s="70" t="str">
        <x:f>IF(A105="","",D105+E105)</x:f>
      </x:c>
      <x:c r="G105" s="70" t="str">
        <x:f>IF(A105="","",MAX(0,B105+C105-D105))</x:f>
      </x:c>
      <x:c r="H105" s="52"/>
      <x:c r="I105" s="52"/>
      <x:c r="J105" s="52"/>
      <x:c r="K105" s="52"/>
    </x:row>
    <x:row r="106">
      <x:c r="A106" s="69" t="str">
        <x:f>IF(84&lt;=$C$11,84,"")</x:f>
      </x:c>
      <x:c r="B106" s="70" t="str">
        <x:f>IF(A106="","",MAX(0,B105-MAX(0,D105-C105)))</x:f>
      </x:c>
      <x:c r="C106" s="70" t="str">
        <x:f>IF(A106="","",MAX(0,C105-D105))</x:f>
      </x:c>
      <x:c r="D106" s="70" t="str">
        <x:f>IF(A106="","",IF($C$17="Capitale costante",$F$6/$C$11,IF(A106=$C$11,$F$6,0)))</x:f>
      </x:c>
      <x:c r="E106" s="70" t="str">
        <x:f>IF(A106="","",B106*$C$9/12+C106*$C$10/12)</x:f>
      </x:c>
      <x:c r="F106" s="70" t="str">
        <x:f>IF(A106="","",D106+E106)</x:f>
      </x:c>
      <x:c r="G106" s="70" t="str">
        <x:f>IF(A106="","",MAX(0,B106+C106-D106))</x:f>
      </x:c>
      <x:c r="H106" s="52"/>
      <x:c r="I106" s="52"/>
      <x:c r="J106" s="52"/>
      <x:c r="K106" s="52"/>
    </x:row>
    <x:row r="107">
      <x:c r="A107" s="69" t="str">
        <x:f>IF(85&lt;=$C$11,85,"")</x:f>
      </x:c>
      <x:c r="B107" s="70" t="str">
        <x:f>IF(A107="","",MAX(0,B106-MAX(0,D106-C106)))</x:f>
      </x:c>
      <x:c r="C107" s="70" t="str">
        <x:f>IF(A107="","",MAX(0,C106-D106))</x:f>
      </x:c>
      <x:c r="D107" s="70" t="str">
        <x:f>IF(A107="","",IF($C$17="Capitale costante",$F$6/$C$11,IF(A107=$C$11,$F$6,0)))</x:f>
      </x:c>
      <x:c r="E107" s="70" t="str">
        <x:f>IF(A107="","",B107*$C$9/12+C107*$C$10/12)</x:f>
      </x:c>
      <x:c r="F107" s="70" t="str">
        <x:f>IF(A107="","",D107+E107)</x:f>
      </x:c>
      <x:c r="G107" s="70" t="str">
        <x:f>IF(A107="","",MAX(0,B107+C107-D107))</x:f>
      </x:c>
      <x:c r="H107" s="52"/>
      <x:c r="I107" s="52"/>
      <x:c r="J107" s="52"/>
      <x:c r="K107" s="52"/>
    </x:row>
    <x:row r="108">
      <x:c r="A108" s="69" t="str">
        <x:f>IF(86&lt;=$C$11,86,"")</x:f>
      </x:c>
      <x:c r="B108" s="70" t="str">
        <x:f>IF(A108="","",MAX(0,B107-MAX(0,D107-C107)))</x:f>
      </x:c>
      <x:c r="C108" s="70" t="str">
        <x:f>IF(A108="","",MAX(0,C107-D107))</x:f>
      </x:c>
      <x:c r="D108" s="70" t="str">
        <x:f>IF(A108="","",IF($C$17="Capitale costante",$F$6/$C$11,IF(A108=$C$11,$F$6,0)))</x:f>
      </x:c>
      <x:c r="E108" s="70" t="str">
        <x:f>IF(A108="","",B108*$C$9/12+C108*$C$10/12)</x:f>
      </x:c>
      <x:c r="F108" s="70" t="str">
        <x:f>IF(A108="","",D108+E108)</x:f>
      </x:c>
      <x:c r="G108" s="70" t="str">
        <x:f>IF(A108="","",MAX(0,B108+C108-D108))</x:f>
      </x:c>
      <x:c r="H108" s="52"/>
      <x:c r="I108" s="52"/>
      <x:c r="J108" s="52"/>
      <x:c r="K108" s="52"/>
    </x:row>
    <x:row r="109">
      <x:c r="A109" s="69" t="str">
        <x:f>IF(87&lt;=$C$11,87,"")</x:f>
      </x:c>
      <x:c r="B109" s="70" t="str">
        <x:f>IF(A109="","",MAX(0,B108-MAX(0,D108-C108)))</x:f>
      </x:c>
      <x:c r="C109" s="70" t="str">
        <x:f>IF(A109="","",MAX(0,C108-D108))</x:f>
      </x:c>
      <x:c r="D109" s="70" t="str">
        <x:f>IF(A109="","",IF($C$17="Capitale costante",$F$6/$C$11,IF(A109=$C$11,$F$6,0)))</x:f>
      </x:c>
      <x:c r="E109" s="70" t="str">
        <x:f>IF(A109="","",B109*$C$9/12+C109*$C$10/12)</x:f>
      </x:c>
      <x:c r="F109" s="70" t="str">
        <x:f>IF(A109="","",D109+E109)</x:f>
      </x:c>
      <x:c r="G109" s="70" t="str">
        <x:f>IF(A109="","",MAX(0,B109+C109-D109))</x:f>
      </x:c>
      <x:c r="H109" s="52"/>
      <x:c r="I109" s="52"/>
      <x:c r="J109" s="52"/>
      <x:c r="K109" s="52"/>
    </x:row>
    <x:row r="110">
      <x:c r="A110" s="69" t="str">
        <x:f>IF(88&lt;=$C$11,88,"")</x:f>
      </x:c>
      <x:c r="B110" s="70" t="str">
        <x:f>IF(A110="","",MAX(0,B109-MAX(0,D109-C109)))</x:f>
      </x:c>
      <x:c r="C110" s="70" t="str">
        <x:f>IF(A110="","",MAX(0,C109-D109))</x:f>
      </x:c>
      <x:c r="D110" s="70" t="str">
        <x:f>IF(A110="","",IF($C$17="Capitale costante",$F$6/$C$11,IF(A110=$C$11,$F$6,0)))</x:f>
      </x:c>
      <x:c r="E110" s="70" t="str">
        <x:f>IF(A110="","",B110*$C$9/12+C110*$C$10/12)</x:f>
      </x:c>
      <x:c r="F110" s="70" t="str">
        <x:f>IF(A110="","",D110+E110)</x:f>
      </x:c>
      <x:c r="G110" s="70" t="str">
        <x:f>IF(A110="","",MAX(0,B110+C110-D110))</x:f>
      </x:c>
      <x:c r="H110" s="52"/>
      <x:c r="I110" s="52"/>
      <x:c r="J110" s="52"/>
      <x:c r="K110" s="52"/>
    </x:row>
    <x:row r="111">
      <x:c r="A111" s="69" t="str">
        <x:f>IF(89&lt;=$C$11,89,"")</x:f>
      </x:c>
      <x:c r="B111" s="70" t="str">
        <x:f>IF(A111="","",MAX(0,B110-MAX(0,D110-C110)))</x:f>
      </x:c>
      <x:c r="C111" s="70" t="str">
        <x:f>IF(A111="","",MAX(0,C110-D110))</x:f>
      </x:c>
      <x:c r="D111" s="70" t="str">
        <x:f>IF(A111="","",IF($C$17="Capitale costante",$F$6/$C$11,IF(A111=$C$11,$F$6,0)))</x:f>
      </x:c>
      <x:c r="E111" s="70" t="str">
        <x:f>IF(A111="","",B111*$C$9/12+C111*$C$10/12)</x:f>
      </x:c>
      <x:c r="F111" s="70" t="str">
        <x:f>IF(A111="","",D111+E111)</x:f>
      </x:c>
      <x:c r="G111" s="70" t="str">
        <x:f>IF(A111="","",MAX(0,B111+C111-D111))</x:f>
      </x:c>
      <x:c r="H111" s="52"/>
      <x:c r="I111" s="52"/>
      <x:c r="J111" s="52"/>
      <x:c r="K111" s="52"/>
    </x:row>
    <x:row r="112">
      <x:c r="A112" s="69" t="str">
        <x:f>IF(90&lt;=$C$11,90,"")</x:f>
      </x:c>
      <x:c r="B112" s="70" t="str">
        <x:f>IF(A112="","",MAX(0,B111-MAX(0,D111-C111)))</x:f>
      </x:c>
      <x:c r="C112" s="70" t="str">
        <x:f>IF(A112="","",MAX(0,C111-D111))</x:f>
      </x:c>
      <x:c r="D112" s="70" t="str">
        <x:f>IF(A112="","",IF($C$17="Capitale costante",$F$6/$C$11,IF(A112=$C$11,$F$6,0)))</x:f>
      </x:c>
      <x:c r="E112" s="70" t="str">
        <x:f>IF(A112="","",B112*$C$9/12+C112*$C$10/12)</x:f>
      </x:c>
      <x:c r="F112" s="70" t="str">
        <x:f>IF(A112="","",D112+E112)</x:f>
      </x:c>
      <x:c r="G112" s="70" t="str">
        <x:f>IF(A112="","",MAX(0,B112+C112-D112))</x:f>
      </x:c>
      <x:c r="H112" s="52"/>
      <x:c r="I112" s="52"/>
      <x:c r="J112" s="52"/>
      <x:c r="K112" s="52"/>
    </x:row>
    <x:row r="113">
      <x:c r="A113" s="69" t="str">
        <x:f>IF(91&lt;=$C$11,91,"")</x:f>
      </x:c>
      <x:c r="B113" s="70" t="str">
        <x:f>IF(A113="","",MAX(0,B112-MAX(0,D112-C112)))</x:f>
      </x:c>
      <x:c r="C113" s="70" t="str">
        <x:f>IF(A113="","",MAX(0,C112-D112))</x:f>
      </x:c>
      <x:c r="D113" s="70" t="str">
        <x:f>IF(A113="","",IF($C$17="Capitale costante",$F$6/$C$11,IF(A113=$C$11,$F$6,0)))</x:f>
      </x:c>
      <x:c r="E113" s="70" t="str">
        <x:f>IF(A113="","",B113*$C$9/12+C113*$C$10/12)</x:f>
      </x:c>
      <x:c r="F113" s="70" t="str">
        <x:f>IF(A113="","",D113+E113)</x:f>
      </x:c>
      <x:c r="G113" s="70" t="str">
        <x:f>IF(A113="","",MAX(0,B113+C113-D113))</x:f>
      </x:c>
      <x:c r="H113" s="52"/>
      <x:c r="I113" s="52"/>
      <x:c r="J113" s="52"/>
      <x:c r="K113" s="52"/>
    </x:row>
    <x:row r="114">
      <x:c r="A114" s="69" t="str">
        <x:f>IF(92&lt;=$C$11,92,"")</x:f>
      </x:c>
      <x:c r="B114" s="70" t="str">
        <x:f>IF(A114="","",MAX(0,B113-MAX(0,D113-C113)))</x:f>
      </x:c>
      <x:c r="C114" s="70" t="str">
        <x:f>IF(A114="","",MAX(0,C113-D113))</x:f>
      </x:c>
      <x:c r="D114" s="70" t="str">
        <x:f>IF(A114="","",IF($C$17="Capitale costante",$F$6/$C$11,IF(A114=$C$11,$F$6,0)))</x:f>
      </x:c>
      <x:c r="E114" s="70" t="str">
        <x:f>IF(A114="","",B114*$C$9/12+C114*$C$10/12)</x:f>
      </x:c>
      <x:c r="F114" s="70" t="str">
        <x:f>IF(A114="","",D114+E114)</x:f>
      </x:c>
      <x:c r="G114" s="70" t="str">
        <x:f>IF(A114="","",MAX(0,B114+C114-D114))</x:f>
      </x:c>
      <x:c r="H114" s="52"/>
      <x:c r="I114" s="52"/>
      <x:c r="J114" s="52"/>
      <x:c r="K114" s="52"/>
    </x:row>
    <x:row r="115">
      <x:c r="A115" s="69" t="str">
        <x:f>IF(93&lt;=$C$11,93,"")</x:f>
      </x:c>
      <x:c r="B115" s="70" t="str">
        <x:f>IF(A115="","",MAX(0,B114-MAX(0,D114-C114)))</x:f>
      </x:c>
      <x:c r="C115" s="70" t="str">
        <x:f>IF(A115="","",MAX(0,C114-D114))</x:f>
      </x:c>
      <x:c r="D115" s="70" t="str">
        <x:f>IF(A115="","",IF($C$17="Capitale costante",$F$6/$C$11,IF(A115=$C$11,$F$6,0)))</x:f>
      </x:c>
      <x:c r="E115" s="70" t="str">
        <x:f>IF(A115="","",B115*$C$9/12+C115*$C$10/12)</x:f>
      </x:c>
      <x:c r="F115" s="70" t="str">
        <x:f>IF(A115="","",D115+E115)</x:f>
      </x:c>
      <x:c r="G115" s="70" t="str">
        <x:f>IF(A115="","",MAX(0,B115+C115-D115))</x:f>
      </x:c>
      <x:c r="H115" s="52"/>
      <x:c r="I115" s="52"/>
      <x:c r="J115" s="52"/>
      <x:c r="K115" s="52"/>
    </x:row>
    <x:row r="116">
      <x:c r="A116" s="69" t="str">
        <x:f>IF(94&lt;=$C$11,94,"")</x:f>
      </x:c>
      <x:c r="B116" s="70" t="str">
        <x:f>IF(A116="","",MAX(0,B115-MAX(0,D115-C115)))</x:f>
      </x:c>
      <x:c r="C116" s="70" t="str">
        <x:f>IF(A116="","",MAX(0,C115-D115))</x:f>
      </x:c>
      <x:c r="D116" s="70" t="str">
        <x:f>IF(A116="","",IF($C$17="Capitale costante",$F$6/$C$11,IF(A116=$C$11,$F$6,0)))</x:f>
      </x:c>
      <x:c r="E116" s="70" t="str">
        <x:f>IF(A116="","",B116*$C$9/12+C116*$C$10/12)</x:f>
      </x:c>
      <x:c r="F116" s="70" t="str">
        <x:f>IF(A116="","",D116+E116)</x:f>
      </x:c>
      <x:c r="G116" s="70" t="str">
        <x:f>IF(A116="","",MAX(0,B116+C116-D116))</x:f>
      </x:c>
      <x:c r="H116" s="52"/>
      <x:c r="I116" s="52"/>
      <x:c r="J116" s="52"/>
      <x:c r="K116" s="52"/>
    </x:row>
    <x:row r="117">
      <x:c r="A117" s="69" t="str">
        <x:f>IF(95&lt;=$C$11,95,"")</x:f>
      </x:c>
      <x:c r="B117" s="70" t="str">
        <x:f>IF(A117="","",MAX(0,B116-MAX(0,D116-C116)))</x:f>
      </x:c>
      <x:c r="C117" s="70" t="str">
        <x:f>IF(A117="","",MAX(0,C116-D116))</x:f>
      </x:c>
      <x:c r="D117" s="70" t="str">
        <x:f>IF(A117="","",IF($C$17="Capitale costante",$F$6/$C$11,IF(A117=$C$11,$F$6,0)))</x:f>
      </x:c>
      <x:c r="E117" s="70" t="str">
        <x:f>IF(A117="","",B117*$C$9/12+C117*$C$10/12)</x:f>
      </x:c>
      <x:c r="F117" s="70" t="str">
        <x:f>IF(A117="","",D117+E117)</x:f>
      </x:c>
      <x:c r="G117" s="70" t="str">
        <x:f>IF(A117="","",MAX(0,B117+C117-D117))</x:f>
      </x:c>
      <x:c r="H117" s="52"/>
      <x:c r="I117" s="52"/>
      <x:c r="J117" s="52"/>
      <x:c r="K117" s="52"/>
    </x:row>
    <x:row r="118">
      <x:c r="A118" s="69" t="str">
        <x:f>IF(96&lt;=$C$11,96,"")</x:f>
      </x:c>
      <x:c r="B118" s="70" t="str">
        <x:f>IF(A118="","",MAX(0,B117-MAX(0,D117-C117)))</x:f>
      </x:c>
      <x:c r="C118" s="70" t="str">
        <x:f>IF(A118="","",MAX(0,C117-D117))</x:f>
      </x:c>
      <x:c r="D118" s="70" t="str">
        <x:f>IF(A118="","",IF($C$17="Capitale costante",$F$6/$C$11,IF(A118=$C$11,$F$6,0)))</x:f>
      </x:c>
      <x:c r="E118" s="70" t="str">
        <x:f>IF(A118="","",B118*$C$9/12+C118*$C$10/12)</x:f>
      </x:c>
      <x:c r="F118" s="70" t="str">
        <x:f>IF(A118="","",D118+E118)</x:f>
      </x:c>
      <x:c r="G118" s="70" t="str">
        <x:f>IF(A118="","",MAX(0,B118+C118-D118))</x:f>
      </x:c>
      <x:c r="H118" s="52"/>
      <x:c r="I118" s="52"/>
      <x:c r="J118" s="52"/>
      <x:c r="K118" s="52"/>
    </x:row>
    <x:row r="119">
      <x:c r="A119" s="69" t="str">
        <x:f>IF(97&lt;=$C$11,97,"")</x:f>
      </x:c>
      <x:c r="B119" s="70" t="str">
        <x:f>IF(A119="","",MAX(0,B118-MAX(0,D118-C118)))</x:f>
      </x:c>
      <x:c r="C119" s="70" t="str">
        <x:f>IF(A119="","",MAX(0,C118-D118))</x:f>
      </x:c>
      <x:c r="D119" s="70" t="str">
        <x:f>IF(A119="","",IF($C$17="Capitale costante",$F$6/$C$11,IF(A119=$C$11,$F$6,0)))</x:f>
      </x:c>
      <x:c r="E119" s="70" t="str">
        <x:f>IF(A119="","",B119*$C$9/12+C119*$C$10/12)</x:f>
      </x:c>
      <x:c r="F119" s="70" t="str">
        <x:f>IF(A119="","",D119+E119)</x:f>
      </x:c>
      <x:c r="G119" s="70" t="str">
        <x:f>IF(A119="","",MAX(0,B119+C119-D119))</x:f>
      </x:c>
      <x:c r="H119" s="52"/>
      <x:c r="I119" s="52"/>
      <x:c r="J119" s="52"/>
      <x:c r="K119" s="52"/>
    </x:row>
    <x:row r="120">
      <x:c r="A120" s="69" t="str">
        <x:f>IF(98&lt;=$C$11,98,"")</x:f>
      </x:c>
      <x:c r="B120" s="70" t="str">
        <x:f>IF(A120="","",MAX(0,B119-MAX(0,D119-C119)))</x:f>
      </x:c>
      <x:c r="C120" s="70" t="str">
        <x:f>IF(A120="","",MAX(0,C119-D119))</x:f>
      </x:c>
      <x:c r="D120" s="70" t="str">
        <x:f>IF(A120="","",IF($C$17="Capitale costante",$F$6/$C$11,IF(A120=$C$11,$F$6,0)))</x:f>
      </x:c>
      <x:c r="E120" s="70" t="str">
        <x:f>IF(A120="","",B120*$C$9/12+C120*$C$10/12)</x:f>
      </x:c>
      <x:c r="F120" s="70" t="str">
        <x:f>IF(A120="","",D120+E120)</x:f>
      </x:c>
      <x:c r="G120" s="70" t="str">
        <x:f>IF(A120="","",MAX(0,B120+C120-D120))</x:f>
      </x:c>
      <x:c r="H120" s="52"/>
      <x:c r="I120" s="52"/>
      <x:c r="J120" s="52"/>
      <x:c r="K120" s="52"/>
    </x:row>
    <x:row r="121">
      <x:c r="A121" s="69" t="str">
        <x:f>IF(99&lt;=$C$11,99,"")</x:f>
      </x:c>
      <x:c r="B121" s="70" t="str">
        <x:f>IF(A121="","",MAX(0,B120-MAX(0,D120-C120)))</x:f>
      </x:c>
      <x:c r="C121" s="70" t="str">
        <x:f>IF(A121="","",MAX(0,C120-D120))</x:f>
      </x:c>
      <x:c r="D121" s="70" t="str">
        <x:f>IF(A121="","",IF($C$17="Capitale costante",$F$6/$C$11,IF(A121=$C$11,$F$6,0)))</x:f>
      </x:c>
      <x:c r="E121" s="70" t="str">
        <x:f>IF(A121="","",B121*$C$9/12+C121*$C$10/12)</x:f>
      </x:c>
      <x:c r="F121" s="70" t="str">
        <x:f>IF(A121="","",D121+E121)</x:f>
      </x:c>
      <x:c r="G121" s="70" t="str">
        <x:f>IF(A121="","",MAX(0,B121+C121-D121))</x:f>
      </x:c>
      <x:c r="H121" s="52"/>
      <x:c r="I121" s="52"/>
      <x:c r="J121" s="52"/>
      <x:c r="K121" s="52"/>
    </x:row>
    <x:row r="122">
      <x:c r="A122" s="69" t="str">
        <x:f>IF(100&lt;=$C$11,100,"")</x:f>
      </x:c>
      <x:c r="B122" s="70" t="str">
        <x:f>IF(A122="","",MAX(0,B121-MAX(0,D121-C121)))</x:f>
      </x:c>
      <x:c r="C122" s="70" t="str">
        <x:f>IF(A122="","",MAX(0,C121-D121))</x:f>
      </x:c>
      <x:c r="D122" s="70" t="str">
        <x:f>IF(A122="","",IF($C$17="Capitale costante",$F$6/$C$11,IF(A122=$C$11,$F$6,0)))</x:f>
      </x:c>
      <x:c r="E122" s="70" t="str">
        <x:f>IF(A122="","",B122*$C$9/12+C122*$C$10/12)</x:f>
      </x:c>
      <x:c r="F122" s="70" t="str">
        <x:f>IF(A122="","",D122+E122)</x:f>
      </x:c>
      <x:c r="G122" s="70" t="str">
        <x:f>IF(A122="","",MAX(0,B122+C122-D122))</x:f>
      </x:c>
      <x:c r="H122" s="52"/>
      <x:c r="I122" s="52"/>
      <x:c r="J122" s="52"/>
      <x:c r="K122" s="52"/>
    </x:row>
    <x:row r="123">
      <x:c r="A123" s="69" t="str">
        <x:f>IF(101&lt;=$C$11,101,"")</x:f>
      </x:c>
      <x:c r="B123" s="70" t="str">
        <x:f>IF(A123="","",MAX(0,B122-MAX(0,D122-C122)))</x:f>
      </x:c>
      <x:c r="C123" s="70" t="str">
        <x:f>IF(A123="","",MAX(0,C122-D122))</x:f>
      </x:c>
      <x:c r="D123" s="70" t="str">
        <x:f>IF(A123="","",IF($C$17="Capitale costante",$F$6/$C$11,IF(A123=$C$11,$F$6,0)))</x:f>
      </x:c>
      <x:c r="E123" s="70" t="str">
        <x:f>IF(A123="","",B123*$C$9/12+C123*$C$10/12)</x:f>
      </x:c>
      <x:c r="F123" s="70" t="str">
        <x:f>IF(A123="","",D123+E123)</x:f>
      </x:c>
      <x:c r="G123" s="70" t="str">
        <x:f>IF(A123="","",MAX(0,B123+C123-D123))</x:f>
      </x:c>
      <x:c r="H123" s="52"/>
      <x:c r="I123" s="52"/>
      <x:c r="J123" s="52"/>
      <x:c r="K123" s="52"/>
    </x:row>
    <x:row r="124">
      <x:c r="A124" s="69" t="str">
        <x:f>IF(102&lt;=$C$11,102,"")</x:f>
      </x:c>
      <x:c r="B124" s="70" t="str">
        <x:f>IF(A124="","",MAX(0,B123-MAX(0,D123-C123)))</x:f>
      </x:c>
      <x:c r="C124" s="70" t="str">
        <x:f>IF(A124="","",MAX(0,C123-D123))</x:f>
      </x:c>
      <x:c r="D124" s="70" t="str">
        <x:f>IF(A124="","",IF($C$17="Capitale costante",$F$6/$C$11,IF(A124=$C$11,$F$6,0)))</x:f>
      </x:c>
      <x:c r="E124" s="70" t="str">
        <x:f>IF(A124="","",B124*$C$9/12+C124*$C$10/12)</x:f>
      </x:c>
      <x:c r="F124" s="70" t="str">
        <x:f>IF(A124="","",D124+E124)</x:f>
      </x:c>
      <x:c r="G124" s="70" t="str">
        <x:f>IF(A124="","",MAX(0,B124+C124-D124))</x:f>
      </x:c>
      <x:c r="H124" s="52"/>
      <x:c r="I124" s="52"/>
      <x:c r="J124" s="52"/>
      <x:c r="K124" s="52"/>
    </x:row>
    <x:row r="125">
      <x:c r="A125" s="69" t="str">
        <x:f>IF(103&lt;=$C$11,103,"")</x:f>
      </x:c>
      <x:c r="B125" s="70" t="str">
        <x:f>IF(A125="","",MAX(0,B124-MAX(0,D124-C124)))</x:f>
      </x:c>
      <x:c r="C125" s="70" t="str">
        <x:f>IF(A125="","",MAX(0,C124-D124))</x:f>
      </x:c>
      <x:c r="D125" s="70" t="str">
        <x:f>IF(A125="","",IF($C$17="Capitale costante",$F$6/$C$11,IF(A125=$C$11,$F$6,0)))</x:f>
      </x:c>
      <x:c r="E125" s="70" t="str">
        <x:f>IF(A125="","",B125*$C$9/12+C125*$C$10/12)</x:f>
      </x:c>
      <x:c r="F125" s="70" t="str">
        <x:f>IF(A125="","",D125+E125)</x:f>
      </x:c>
      <x:c r="G125" s="70" t="str">
        <x:f>IF(A125="","",MAX(0,B125+C125-D125))</x:f>
      </x:c>
      <x:c r="H125" s="52"/>
      <x:c r="I125" s="52"/>
      <x:c r="J125" s="52"/>
      <x:c r="K125" s="52"/>
    </x:row>
    <x:row r="126">
      <x:c r="A126" s="69" t="str">
        <x:f>IF(104&lt;=$C$11,104,"")</x:f>
      </x:c>
      <x:c r="B126" s="70" t="str">
        <x:f>IF(A126="","",MAX(0,B125-MAX(0,D125-C125)))</x:f>
      </x:c>
      <x:c r="C126" s="70" t="str">
        <x:f>IF(A126="","",MAX(0,C125-D125))</x:f>
      </x:c>
      <x:c r="D126" s="70" t="str">
        <x:f>IF(A126="","",IF($C$17="Capitale costante",$F$6/$C$11,IF(A126=$C$11,$F$6,0)))</x:f>
      </x:c>
      <x:c r="E126" s="70" t="str">
        <x:f>IF(A126="","",B126*$C$9/12+C126*$C$10/12)</x:f>
      </x:c>
      <x:c r="F126" s="70" t="str">
        <x:f>IF(A126="","",D126+E126)</x:f>
      </x:c>
      <x:c r="G126" s="70" t="str">
        <x:f>IF(A126="","",MAX(0,B126+C126-D126))</x:f>
      </x:c>
      <x:c r="H126" s="52"/>
      <x:c r="I126" s="52"/>
      <x:c r="J126" s="52"/>
      <x:c r="K126" s="52"/>
    </x:row>
    <x:row r="127">
      <x:c r="A127" s="69" t="str">
        <x:f>IF(105&lt;=$C$11,105,"")</x:f>
      </x:c>
      <x:c r="B127" s="70" t="str">
        <x:f>IF(A127="","",MAX(0,B126-MAX(0,D126-C126)))</x:f>
      </x:c>
      <x:c r="C127" s="70" t="str">
        <x:f>IF(A127="","",MAX(0,C126-D126))</x:f>
      </x:c>
      <x:c r="D127" s="70" t="str">
        <x:f>IF(A127="","",IF($C$17="Capitale costante",$F$6/$C$11,IF(A127=$C$11,$F$6,0)))</x:f>
      </x:c>
      <x:c r="E127" s="70" t="str">
        <x:f>IF(A127="","",B127*$C$9/12+C127*$C$10/12)</x:f>
      </x:c>
      <x:c r="F127" s="70" t="str">
        <x:f>IF(A127="","",D127+E127)</x:f>
      </x:c>
      <x:c r="G127" s="70" t="str">
        <x:f>IF(A127="","",MAX(0,B127+C127-D127))</x:f>
      </x:c>
      <x:c r="H127" s="52"/>
      <x:c r="I127" s="52"/>
      <x:c r="J127" s="52"/>
      <x:c r="K127" s="52"/>
    </x:row>
    <x:row r="128">
      <x:c r="A128" s="69" t="str">
        <x:f>IF(106&lt;=$C$11,106,"")</x:f>
      </x:c>
      <x:c r="B128" s="70" t="str">
        <x:f>IF(A128="","",MAX(0,B127-MAX(0,D127-C127)))</x:f>
      </x:c>
      <x:c r="C128" s="70" t="str">
        <x:f>IF(A128="","",MAX(0,C127-D127))</x:f>
      </x:c>
      <x:c r="D128" s="70" t="str">
        <x:f>IF(A128="","",IF($C$17="Capitale costante",$F$6/$C$11,IF(A128=$C$11,$F$6,0)))</x:f>
      </x:c>
      <x:c r="E128" s="70" t="str">
        <x:f>IF(A128="","",B128*$C$9/12+C128*$C$10/12)</x:f>
      </x:c>
      <x:c r="F128" s="70" t="str">
        <x:f>IF(A128="","",D128+E128)</x:f>
      </x:c>
      <x:c r="G128" s="70" t="str">
        <x:f>IF(A128="","",MAX(0,B128+C128-D128))</x:f>
      </x:c>
      <x:c r="H128" s="52"/>
      <x:c r="I128" s="52"/>
      <x:c r="J128" s="52"/>
      <x:c r="K128" s="52"/>
    </x:row>
    <x:row r="129">
      <x:c r="A129" s="69" t="str">
        <x:f>IF(107&lt;=$C$11,107,"")</x:f>
      </x:c>
      <x:c r="B129" s="70" t="str">
        <x:f>IF(A129="","",MAX(0,B128-MAX(0,D128-C128)))</x:f>
      </x:c>
      <x:c r="C129" s="70" t="str">
        <x:f>IF(A129="","",MAX(0,C128-D128))</x:f>
      </x:c>
      <x:c r="D129" s="70" t="str">
        <x:f>IF(A129="","",IF($C$17="Capitale costante",$F$6/$C$11,IF(A129=$C$11,$F$6,0)))</x:f>
      </x:c>
      <x:c r="E129" s="70" t="str">
        <x:f>IF(A129="","",B129*$C$9/12+C129*$C$10/12)</x:f>
      </x:c>
      <x:c r="F129" s="70" t="str">
        <x:f>IF(A129="","",D129+E129)</x:f>
      </x:c>
      <x:c r="G129" s="70" t="str">
        <x:f>IF(A129="","",MAX(0,B129+C129-D129))</x:f>
      </x:c>
      <x:c r="H129" s="52"/>
      <x:c r="I129" s="52"/>
      <x:c r="J129" s="52"/>
      <x:c r="K129" s="52"/>
    </x:row>
    <x:row r="130">
      <x:c r="A130" s="69" t="str">
        <x:f>IF(108&lt;=$C$11,108,"")</x:f>
      </x:c>
      <x:c r="B130" s="70" t="str">
        <x:f>IF(A130="","",MAX(0,B129-MAX(0,D129-C129)))</x:f>
      </x:c>
      <x:c r="C130" s="70" t="str">
        <x:f>IF(A130="","",MAX(0,C129-D129))</x:f>
      </x:c>
      <x:c r="D130" s="70" t="str">
        <x:f>IF(A130="","",IF($C$17="Capitale costante",$F$6/$C$11,IF(A130=$C$11,$F$6,0)))</x:f>
      </x:c>
      <x:c r="E130" s="70" t="str">
        <x:f>IF(A130="","",B130*$C$9/12+C130*$C$10/12)</x:f>
      </x:c>
      <x:c r="F130" s="70" t="str">
        <x:f>IF(A130="","",D130+E130)</x:f>
      </x:c>
      <x:c r="G130" s="70" t="str">
        <x:f>IF(A130="","",MAX(0,B130+C130-D130))</x:f>
      </x:c>
      <x:c r="H130" s="52"/>
      <x:c r="I130" s="52"/>
      <x:c r="J130" s="52"/>
      <x:c r="K130" s="52"/>
    </x:row>
    <x:row r="131">
      <x:c r="A131" s="69" t="str">
        <x:f>IF(109&lt;=$C$11,109,"")</x:f>
      </x:c>
      <x:c r="B131" s="70" t="str">
        <x:f>IF(A131="","",MAX(0,B130-MAX(0,D130-C130)))</x:f>
      </x:c>
      <x:c r="C131" s="70" t="str">
        <x:f>IF(A131="","",MAX(0,C130-D130))</x:f>
      </x:c>
      <x:c r="D131" s="70" t="str">
        <x:f>IF(A131="","",IF($C$17="Capitale costante",$F$6/$C$11,IF(A131=$C$11,$F$6,0)))</x:f>
      </x:c>
      <x:c r="E131" s="70" t="str">
        <x:f>IF(A131="","",B131*$C$9/12+C131*$C$10/12)</x:f>
      </x:c>
      <x:c r="F131" s="70" t="str">
        <x:f>IF(A131="","",D131+E131)</x:f>
      </x:c>
      <x:c r="G131" s="70" t="str">
        <x:f>IF(A131="","",MAX(0,B131+C131-D131))</x:f>
      </x:c>
      <x:c r="H131" s="52"/>
      <x:c r="I131" s="52"/>
      <x:c r="J131" s="52"/>
      <x:c r="K131" s="52"/>
    </x:row>
    <x:row r="132">
      <x:c r="A132" s="69" t="str">
        <x:f>IF(110&lt;=$C$11,110,"")</x:f>
      </x:c>
      <x:c r="B132" s="70" t="str">
        <x:f>IF(A132="","",MAX(0,B131-MAX(0,D131-C131)))</x:f>
      </x:c>
      <x:c r="C132" s="70" t="str">
        <x:f>IF(A132="","",MAX(0,C131-D131))</x:f>
      </x:c>
      <x:c r="D132" s="70" t="str">
        <x:f>IF(A132="","",IF($C$17="Capitale costante",$F$6/$C$11,IF(A132=$C$11,$F$6,0)))</x:f>
      </x:c>
      <x:c r="E132" s="70" t="str">
        <x:f>IF(A132="","",B132*$C$9/12+C132*$C$10/12)</x:f>
      </x:c>
      <x:c r="F132" s="70" t="str">
        <x:f>IF(A132="","",D132+E132)</x:f>
      </x:c>
      <x:c r="G132" s="70" t="str">
        <x:f>IF(A132="","",MAX(0,B132+C132-D132))</x:f>
      </x:c>
      <x:c r="H132" s="52"/>
      <x:c r="I132" s="52"/>
      <x:c r="J132" s="52"/>
      <x:c r="K132" s="52"/>
    </x:row>
    <x:row r="133">
      <x:c r="A133" s="69" t="str">
        <x:f>IF(111&lt;=$C$11,111,"")</x:f>
      </x:c>
      <x:c r="B133" s="70" t="str">
        <x:f>IF(A133="","",MAX(0,B132-MAX(0,D132-C132)))</x:f>
      </x:c>
      <x:c r="C133" s="70" t="str">
        <x:f>IF(A133="","",MAX(0,C132-D132))</x:f>
      </x:c>
      <x:c r="D133" s="70" t="str">
        <x:f>IF(A133="","",IF($C$17="Capitale costante",$F$6/$C$11,IF(A133=$C$11,$F$6,0)))</x:f>
      </x:c>
      <x:c r="E133" s="70" t="str">
        <x:f>IF(A133="","",B133*$C$9/12+C133*$C$10/12)</x:f>
      </x:c>
      <x:c r="F133" s="70" t="str">
        <x:f>IF(A133="","",D133+E133)</x:f>
      </x:c>
      <x:c r="G133" s="70" t="str">
        <x:f>IF(A133="","",MAX(0,B133+C133-D133))</x:f>
      </x:c>
      <x:c r="H133" s="52"/>
      <x:c r="I133" s="52"/>
      <x:c r="J133" s="52"/>
      <x:c r="K133" s="52"/>
    </x:row>
    <x:row r="134">
      <x:c r="A134" s="69" t="str">
        <x:f>IF(112&lt;=$C$11,112,"")</x:f>
      </x:c>
      <x:c r="B134" s="70" t="str">
        <x:f>IF(A134="","",MAX(0,B133-MAX(0,D133-C133)))</x:f>
      </x:c>
      <x:c r="C134" s="70" t="str">
        <x:f>IF(A134="","",MAX(0,C133-D133))</x:f>
      </x:c>
      <x:c r="D134" s="70" t="str">
        <x:f>IF(A134="","",IF($C$17="Capitale costante",$F$6/$C$11,IF(A134=$C$11,$F$6,0)))</x:f>
      </x:c>
      <x:c r="E134" s="70" t="str">
        <x:f>IF(A134="","",B134*$C$9/12+C134*$C$10/12)</x:f>
      </x:c>
      <x:c r="F134" s="70" t="str">
        <x:f>IF(A134="","",D134+E134)</x:f>
      </x:c>
      <x:c r="G134" s="70" t="str">
        <x:f>IF(A134="","",MAX(0,B134+C134-D134))</x:f>
      </x:c>
      <x:c r="H134" s="52"/>
      <x:c r="I134" s="52"/>
      <x:c r="J134" s="52"/>
      <x:c r="K134" s="52"/>
    </x:row>
    <x:row r="135">
      <x:c r="A135" s="69" t="str">
        <x:f>IF(113&lt;=$C$11,113,"")</x:f>
      </x:c>
      <x:c r="B135" s="70" t="str">
        <x:f>IF(A135="","",MAX(0,B134-MAX(0,D134-C134)))</x:f>
      </x:c>
      <x:c r="C135" s="70" t="str">
        <x:f>IF(A135="","",MAX(0,C134-D134))</x:f>
      </x:c>
      <x:c r="D135" s="70" t="str">
        <x:f>IF(A135="","",IF($C$17="Capitale costante",$F$6/$C$11,IF(A135=$C$11,$F$6,0)))</x:f>
      </x:c>
      <x:c r="E135" s="70" t="str">
        <x:f>IF(A135="","",B135*$C$9/12+C135*$C$10/12)</x:f>
      </x:c>
      <x:c r="F135" s="70" t="str">
        <x:f>IF(A135="","",D135+E135)</x:f>
      </x:c>
      <x:c r="G135" s="70" t="str">
        <x:f>IF(A135="","",MAX(0,B135+C135-D135))</x:f>
      </x:c>
      <x:c r="H135" s="52"/>
      <x:c r="I135" s="52"/>
      <x:c r="J135" s="52"/>
      <x:c r="K135" s="52"/>
    </x:row>
    <x:row r="136">
      <x:c r="A136" s="69" t="str">
        <x:f>IF(114&lt;=$C$11,114,"")</x:f>
      </x:c>
      <x:c r="B136" s="70" t="str">
        <x:f>IF(A136="","",MAX(0,B135-MAX(0,D135-C135)))</x:f>
      </x:c>
      <x:c r="C136" s="70" t="str">
        <x:f>IF(A136="","",MAX(0,C135-D135))</x:f>
      </x:c>
      <x:c r="D136" s="70" t="str">
        <x:f>IF(A136="","",IF($C$17="Capitale costante",$F$6/$C$11,IF(A136=$C$11,$F$6,0)))</x:f>
      </x:c>
      <x:c r="E136" s="70" t="str">
        <x:f>IF(A136="","",B136*$C$9/12+C136*$C$10/12)</x:f>
      </x:c>
      <x:c r="F136" s="70" t="str">
        <x:f>IF(A136="","",D136+E136)</x:f>
      </x:c>
      <x:c r="G136" s="70" t="str">
        <x:f>IF(A136="","",MAX(0,B136+C136-D136))</x:f>
      </x:c>
      <x:c r="H136" s="52"/>
      <x:c r="I136" s="52"/>
      <x:c r="J136" s="52"/>
      <x:c r="K136" s="52"/>
    </x:row>
    <x:row r="137">
      <x:c r="A137" s="69" t="str">
        <x:f>IF(115&lt;=$C$11,115,"")</x:f>
      </x:c>
      <x:c r="B137" s="70" t="str">
        <x:f>IF(A137="","",MAX(0,B136-MAX(0,D136-C136)))</x:f>
      </x:c>
      <x:c r="C137" s="70" t="str">
        <x:f>IF(A137="","",MAX(0,C136-D136))</x:f>
      </x:c>
      <x:c r="D137" s="70" t="str">
        <x:f>IF(A137="","",IF($C$17="Capitale costante",$F$6/$C$11,IF(A137=$C$11,$F$6,0)))</x:f>
      </x:c>
      <x:c r="E137" s="70" t="str">
        <x:f>IF(A137="","",B137*$C$9/12+C137*$C$10/12)</x:f>
      </x:c>
      <x:c r="F137" s="70" t="str">
        <x:f>IF(A137="","",D137+E137)</x:f>
      </x:c>
      <x:c r="G137" s="70" t="str">
        <x:f>IF(A137="","",MAX(0,B137+C137-D137))</x:f>
      </x:c>
      <x:c r="H137" s="52"/>
      <x:c r="I137" s="52"/>
      <x:c r="J137" s="52"/>
      <x:c r="K137" s="52"/>
    </x:row>
    <x:row r="138">
      <x:c r="A138" s="69" t="str">
        <x:f>IF(116&lt;=$C$11,116,"")</x:f>
      </x:c>
      <x:c r="B138" s="70" t="str">
        <x:f>IF(A138="","",MAX(0,B137-MAX(0,D137-C137)))</x:f>
      </x:c>
      <x:c r="C138" s="70" t="str">
        <x:f>IF(A138="","",MAX(0,C137-D137))</x:f>
      </x:c>
      <x:c r="D138" s="70" t="str">
        <x:f>IF(A138="","",IF($C$17="Capitale costante",$F$6/$C$11,IF(A138=$C$11,$F$6,0)))</x:f>
      </x:c>
      <x:c r="E138" s="70" t="str">
        <x:f>IF(A138="","",B138*$C$9/12+C138*$C$10/12)</x:f>
      </x:c>
      <x:c r="F138" s="70" t="str">
        <x:f>IF(A138="","",D138+E138)</x:f>
      </x:c>
      <x:c r="G138" s="70" t="str">
        <x:f>IF(A138="","",MAX(0,B138+C138-D138))</x:f>
      </x:c>
      <x:c r="H138" s="52"/>
      <x:c r="I138" s="52"/>
      <x:c r="J138" s="52"/>
      <x:c r="K138" s="52"/>
    </x:row>
    <x:row r="139">
      <x:c r="A139" s="69" t="str">
        <x:f>IF(117&lt;=$C$11,117,"")</x:f>
      </x:c>
      <x:c r="B139" s="70" t="str">
        <x:f>IF(A139="","",MAX(0,B138-MAX(0,D138-C138)))</x:f>
      </x:c>
      <x:c r="C139" s="70" t="str">
        <x:f>IF(A139="","",MAX(0,C138-D138))</x:f>
      </x:c>
      <x:c r="D139" s="70" t="str">
        <x:f>IF(A139="","",IF($C$17="Capitale costante",$F$6/$C$11,IF(A139=$C$11,$F$6,0)))</x:f>
      </x:c>
      <x:c r="E139" s="70" t="str">
        <x:f>IF(A139="","",B139*$C$9/12+C139*$C$10/12)</x:f>
      </x:c>
      <x:c r="F139" s="70" t="str">
        <x:f>IF(A139="","",D139+E139)</x:f>
      </x:c>
      <x:c r="G139" s="70" t="str">
        <x:f>IF(A139="","",MAX(0,B139+C139-D139))</x:f>
      </x:c>
      <x:c r="H139" s="52"/>
      <x:c r="I139" s="52"/>
      <x:c r="J139" s="52"/>
      <x:c r="K139" s="52"/>
    </x:row>
    <x:row r="140">
      <x:c r="A140" s="69" t="str">
        <x:f>IF(118&lt;=$C$11,118,"")</x:f>
      </x:c>
      <x:c r="B140" s="70" t="str">
        <x:f>IF(A140="","",MAX(0,B139-MAX(0,D139-C139)))</x:f>
      </x:c>
      <x:c r="C140" s="70" t="str">
        <x:f>IF(A140="","",MAX(0,C139-D139))</x:f>
      </x:c>
      <x:c r="D140" s="70" t="str">
        <x:f>IF(A140="","",IF($C$17="Capitale costante",$F$6/$C$11,IF(A140=$C$11,$F$6,0)))</x:f>
      </x:c>
      <x:c r="E140" s="70" t="str">
        <x:f>IF(A140="","",B140*$C$9/12+C140*$C$10/12)</x:f>
      </x:c>
      <x:c r="F140" s="70" t="str">
        <x:f>IF(A140="","",D140+E140)</x:f>
      </x:c>
      <x:c r="G140" s="70" t="str">
        <x:f>IF(A140="","",MAX(0,B140+C140-D140))</x:f>
      </x:c>
      <x:c r="H140" s="52"/>
      <x:c r="I140" s="52"/>
      <x:c r="J140" s="52"/>
      <x:c r="K140" s="52"/>
    </x:row>
    <x:row r="141">
      <x:c r="A141" s="69" t="str">
        <x:f>IF(119&lt;=$C$11,119,"")</x:f>
      </x:c>
      <x:c r="B141" s="70" t="str">
        <x:f>IF(A141="","",MAX(0,B140-MAX(0,D140-C140)))</x:f>
      </x:c>
      <x:c r="C141" s="70" t="str">
        <x:f>IF(A141="","",MAX(0,C140-D140))</x:f>
      </x:c>
      <x:c r="D141" s="70" t="str">
        <x:f>IF(A141="","",IF($C$17="Capitale costante",$F$6/$C$11,IF(A141=$C$11,$F$6,0)))</x:f>
      </x:c>
      <x:c r="E141" s="70" t="str">
        <x:f>IF(A141="","",B141*$C$9/12+C141*$C$10/12)</x:f>
      </x:c>
      <x:c r="F141" s="70" t="str">
        <x:f>IF(A141="","",D141+E141)</x:f>
      </x:c>
      <x:c r="G141" s="70" t="str">
        <x:f>IF(A141="","",MAX(0,B141+C141-D141))</x:f>
      </x:c>
      <x:c r="H141" s="52"/>
      <x:c r="I141" s="52"/>
      <x:c r="J141" s="52"/>
      <x:c r="K141" s="52"/>
    </x:row>
    <x:row r="142">
      <x:c r="A142" s="69" t="str">
        <x:f>IF(120&lt;=$C$11,120,"")</x:f>
      </x:c>
      <x:c r="B142" s="70" t="str">
        <x:f>IF(A142="","",MAX(0,B141-MAX(0,D141-C141)))</x:f>
      </x:c>
      <x:c r="C142" s="70" t="str">
        <x:f>IF(A142="","",MAX(0,C141-D141))</x:f>
      </x:c>
      <x:c r="D142" s="70" t="str">
        <x:f>IF(A142="","",IF($C$17="Capitale costante",$F$6/$C$11,IF(A142=$C$11,$F$6,0)))</x:f>
      </x:c>
      <x:c r="E142" s="70" t="str">
        <x:f>IF(A142="","",B142*$C$9/12+C142*$C$10/12)</x:f>
      </x:c>
      <x:c r="F142" s="70" t="str">
        <x:f>IF(A142="","",D142+E142)</x:f>
      </x:c>
      <x:c r="G142" s="70" t="str">
        <x:f>IF(A142="","",MAX(0,B142+C142-D142))</x:f>
      </x:c>
      <x:c r="H142" s="52"/>
      <x:c r="I142" s="52"/>
      <x:c r="J142" s="52"/>
      <x:c r="K142" s="52"/>
    </x:row>
    <x:row r="143">
      <x:c r="A143" s="69" t="str">
        <x:f>IF(121&lt;=$C$11,121,"")</x:f>
      </x:c>
      <x:c r="B143" s="70" t="str">
        <x:f>IF(A143="","",MAX(0,B142-MAX(0,D142-C142)))</x:f>
      </x:c>
      <x:c r="C143" s="70" t="str">
        <x:f>IF(A143="","",MAX(0,C142-D142))</x:f>
      </x:c>
      <x:c r="D143" s="70" t="str">
        <x:f>IF(A143="","",IF($C$17="Capitale costante",$F$6/$C$11,IF(A143=$C$11,$F$6,0)))</x:f>
      </x:c>
      <x:c r="E143" s="70" t="str">
        <x:f>IF(A143="","",B143*$C$9/12+C143*$C$10/12)</x:f>
      </x:c>
      <x:c r="F143" s="70" t="str">
        <x:f>IF(A143="","",D143+E143)</x:f>
      </x:c>
      <x:c r="G143" s="70" t="str">
        <x:f>IF(A143="","",MAX(0,B143+C143-D143))</x:f>
      </x:c>
      <x:c r="H143" s="52"/>
      <x:c r="I143" s="52"/>
      <x:c r="J143" s="52"/>
      <x:c r="K143" s="52"/>
    </x:row>
    <x:row r="144">
      <x:c r="A144" s="69" t="str">
        <x:f>IF(122&lt;=$C$11,122,"")</x:f>
      </x:c>
      <x:c r="B144" s="70" t="str">
        <x:f>IF(A144="","",MAX(0,B143-MAX(0,D143-C143)))</x:f>
      </x:c>
      <x:c r="C144" s="70" t="str">
        <x:f>IF(A144="","",MAX(0,C143-D143))</x:f>
      </x:c>
      <x:c r="D144" s="70" t="str">
        <x:f>IF(A144="","",IF($C$17="Capitale costante",$F$6/$C$11,IF(A144=$C$11,$F$6,0)))</x:f>
      </x:c>
      <x:c r="E144" s="70" t="str">
        <x:f>IF(A144="","",B144*$C$9/12+C144*$C$10/12)</x:f>
      </x:c>
      <x:c r="F144" s="70" t="str">
        <x:f>IF(A144="","",D144+E144)</x:f>
      </x:c>
      <x:c r="G144" s="70" t="str">
        <x:f>IF(A144="","",MAX(0,B144+C144-D144))</x:f>
      </x:c>
      <x:c r="H144" s="52"/>
      <x:c r="I144" s="52"/>
      <x:c r="J144" s="52"/>
      <x:c r="K144" s="52"/>
    </x:row>
    <x:row r="145">
      <x:c r="A145" s="69" t="str">
        <x:f>IF(123&lt;=$C$11,123,"")</x:f>
      </x:c>
      <x:c r="B145" s="70" t="str">
        <x:f>IF(A145="","",MAX(0,B144-MAX(0,D144-C144)))</x:f>
      </x:c>
      <x:c r="C145" s="70" t="str">
        <x:f>IF(A145="","",MAX(0,C144-D144))</x:f>
      </x:c>
      <x:c r="D145" s="70" t="str">
        <x:f>IF(A145="","",IF($C$17="Capitale costante",$F$6/$C$11,IF(A145=$C$11,$F$6,0)))</x:f>
      </x:c>
      <x:c r="E145" s="70" t="str">
        <x:f>IF(A145="","",B145*$C$9/12+C145*$C$10/12)</x:f>
      </x:c>
      <x:c r="F145" s="70" t="str">
        <x:f>IF(A145="","",D145+E145)</x:f>
      </x:c>
      <x:c r="G145" s="70" t="str">
        <x:f>IF(A145="","",MAX(0,B145+C145-D145))</x:f>
      </x:c>
      <x:c r="H145" s="52"/>
      <x:c r="I145" s="52"/>
      <x:c r="J145" s="52"/>
      <x:c r="K145" s="52"/>
    </x:row>
    <x:row r="146">
      <x:c r="A146" s="69" t="str">
        <x:f>IF(124&lt;=$C$11,124,"")</x:f>
      </x:c>
      <x:c r="B146" s="70" t="str">
        <x:f>IF(A146="","",MAX(0,B145-MAX(0,D145-C145)))</x:f>
      </x:c>
      <x:c r="C146" s="70" t="str">
        <x:f>IF(A146="","",MAX(0,C145-D145))</x:f>
      </x:c>
      <x:c r="D146" s="70" t="str">
        <x:f>IF(A146="","",IF($C$17="Capitale costante",$F$6/$C$11,IF(A146=$C$11,$F$6,0)))</x:f>
      </x:c>
      <x:c r="E146" s="70" t="str">
        <x:f>IF(A146="","",B146*$C$9/12+C146*$C$10/12)</x:f>
      </x:c>
      <x:c r="F146" s="70" t="str">
        <x:f>IF(A146="","",D146+E146)</x:f>
      </x:c>
      <x:c r="G146" s="70" t="str">
        <x:f>IF(A146="","",MAX(0,B146+C146-D146))</x:f>
      </x:c>
      <x:c r="H146" s="52"/>
      <x:c r="I146" s="52"/>
      <x:c r="J146" s="52"/>
      <x:c r="K146" s="52"/>
    </x:row>
    <x:row r="147">
      <x:c r="A147" s="69" t="str">
        <x:f>IF(125&lt;=$C$11,125,"")</x:f>
      </x:c>
      <x:c r="B147" s="70" t="str">
        <x:f>IF(A147="","",MAX(0,B146-MAX(0,D146-C146)))</x:f>
      </x:c>
      <x:c r="C147" s="70" t="str">
        <x:f>IF(A147="","",MAX(0,C146-D146))</x:f>
      </x:c>
      <x:c r="D147" s="70" t="str">
        <x:f>IF(A147="","",IF($C$17="Capitale costante",$F$6/$C$11,IF(A147=$C$11,$F$6,0)))</x:f>
      </x:c>
      <x:c r="E147" s="70" t="str">
        <x:f>IF(A147="","",B147*$C$9/12+C147*$C$10/12)</x:f>
      </x:c>
      <x:c r="F147" s="70" t="str">
        <x:f>IF(A147="","",D147+E147)</x:f>
      </x:c>
      <x:c r="G147" s="70" t="str">
        <x:f>IF(A147="","",MAX(0,B147+C147-D147))</x:f>
      </x:c>
      <x:c r="H147" s="52"/>
      <x:c r="I147" s="52"/>
      <x:c r="J147" s="52"/>
      <x:c r="K147" s="52"/>
    </x:row>
    <x:row r="148">
      <x:c r="A148" s="69" t="str">
        <x:f>IF(126&lt;=$C$11,126,"")</x:f>
      </x:c>
      <x:c r="B148" s="70" t="str">
        <x:f>IF(A148="","",MAX(0,B147-MAX(0,D147-C147)))</x:f>
      </x:c>
      <x:c r="C148" s="70" t="str">
        <x:f>IF(A148="","",MAX(0,C147-D147))</x:f>
      </x:c>
      <x:c r="D148" s="70" t="str">
        <x:f>IF(A148="","",IF($C$17="Capitale costante",$F$6/$C$11,IF(A148=$C$11,$F$6,0)))</x:f>
      </x:c>
      <x:c r="E148" s="70" t="str">
        <x:f>IF(A148="","",B148*$C$9/12+C148*$C$10/12)</x:f>
      </x:c>
      <x:c r="F148" s="70" t="str">
        <x:f>IF(A148="","",D148+E148)</x:f>
      </x:c>
      <x:c r="G148" s="70" t="str">
        <x:f>IF(A148="","",MAX(0,B148+C148-D148))</x:f>
      </x:c>
      <x:c r="H148" s="52"/>
      <x:c r="I148" s="52"/>
      <x:c r="J148" s="52"/>
      <x:c r="K148" s="52"/>
    </x:row>
    <x:row r="149">
      <x:c r="A149" s="69" t="str">
        <x:f>IF(127&lt;=$C$11,127,"")</x:f>
      </x:c>
      <x:c r="B149" s="70" t="str">
        <x:f>IF(A149="","",MAX(0,B148-MAX(0,D148-C148)))</x:f>
      </x:c>
      <x:c r="C149" s="70" t="str">
        <x:f>IF(A149="","",MAX(0,C148-D148))</x:f>
      </x:c>
      <x:c r="D149" s="70" t="str">
        <x:f>IF(A149="","",IF($C$17="Capitale costante",$F$6/$C$11,IF(A149=$C$11,$F$6,0)))</x:f>
      </x:c>
      <x:c r="E149" s="70" t="str">
        <x:f>IF(A149="","",B149*$C$9/12+C149*$C$10/12)</x:f>
      </x:c>
      <x:c r="F149" s="70" t="str">
        <x:f>IF(A149="","",D149+E149)</x:f>
      </x:c>
      <x:c r="G149" s="70" t="str">
        <x:f>IF(A149="","",MAX(0,B149+C149-D149))</x:f>
      </x:c>
      <x:c r="H149" s="52"/>
      <x:c r="I149" s="52"/>
      <x:c r="J149" s="52"/>
      <x:c r="K149" s="52"/>
    </x:row>
    <x:row r="150">
      <x:c r="A150" s="69" t="str">
        <x:f>IF(128&lt;=$C$11,128,"")</x:f>
      </x:c>
      <x:c r="B150" s="70" t="str">
        <x:f>IF(A150="","",MAX(0,B149-MAX(0,D149-C149)))</x:f>
      </x:c>
      <x:c r="C150" s="70" t="str">
        <x:f>IF(A150="","",MAX(0,C149-D149))</x:f>
      </x:c>
      <x:c r="D150" s="70" t="str">
        <x:f>IF(A150="","",IF($C$17="Capitale costante",$F$6/$C$11,IF(A150=$C$11,$F$6,0)))</x:f>
      </x:c>
      <x:c r="E150" s="70" t="str">
        <x:f>IF(A150="","",B150*$C$9/12+C150*$C$10/12)</x:f>
      </x:c>
      <x:c r="F150" s="70" t="str">
        <x:f>IF(A150="","",D150+E150)</x:f>
      </x:c>
      <x:c r="G150" s="70" t="str">
        <x:f>IF(A150="","",MAX(0,B150+C150-D150))</x:f>
      </x:c>
      <x:c r="H150" s="52"/>
      <x:c r="I150" s="52"/>
      <x:c r="J150" s="52"/>
      <x:c r="K150" s="52"/>
    </x:row>
    <x:row r="151">
      <x:c r="A151" s="69" t="str">
        <x:f>IF(129&lt;=$C$11,129,"")</x:f>
      </x:c>
      <x:c r="B151" s="70" t="str">
        <x:f>IF(A151="","",MAX(0,B150-MAX(0,D150-C150)))</x:f>
      </x:c>
      <x:c r="C151" s="70" t="str">
        <x:f>IF(A151="","",MAX(0,C150-D150))</x:f>
      </x:c>
      <x:c r="D151" s="70" t="str">
        <x:f>IF(A151="","",IF($C$17="Capitale costante",$F$6/$C$11,IF(A151=$C$11,$F$6,0)))</x:f>
      </x:c>
      <x:c r="E151" s="70" t="str">
        <x:f>IF(A151="","",B151*$C$9/12+C151*$C$10/12)</x:f>
      </x:c>
      <x:c r="F151" s="70" t="str">
        <x:f>IF(A151="","",D151+E151)</x:f>
      </x:c>
      <x:c r="G151" s="70" t="str">
        <x:f>IF(A151="","",MAX(0,B151+C151-D151))</x:f>
      </x:c>
      <x:c r="H151" s="52"/>
      <x:c r="I151" s="52"/>
      <x:c r="J151" s="52"/>
      <x:c r="K151" s="52"/>
    </x:row>
    <x:row r="152">
      <x:c r="A152" s="69" t="str">
        <x:f>IF(130&lt;=$C$11,130,"")</x:f>
      </x:c>
      <x:c r="B152" s="70" t="str">
        <x:f>IF(A152="","",MAX(0,B151-MAX(0,D151-C151)))</x:f>
      </x:c>
      <x:c r="C152" s="70" t="str">
        <x:f>IF(A152="","",MAX(0,C151-D151))</x:f>
      </x:c>
      <x:c r="D152" s="70" t="str">
        <x:f>IF(A152="","",IF($C$17="Capitale costante",$F$6/$C$11,IF(A152=$C$11,$F$6,0)))</x:f>
      </x:c>
      <x:c r="E152" s="70" t="str">
        <x:f>IF(A152="","",B152*$C$9/12+C152*$C$10/12)</x:f>
      </x:c>
      <x:c r="F152" s="70" t="str">
        <x:f>IF(A152="","",D152+E152)</x:f>
      </x:c>
      <x:c r="G152" s="70" t="str">
        <x:f>IF(A152="","",MAX(0,B152+C152-D152))</x:f>
      </x:c>
      <x:c r="H152" s="52"/>
      <x:c r="I152" s="52"/>
      <x:c r="J152" s="52"/>
      <x:c r="K152" s="52"/>
    </x:row>
    <x:row r="153">
      <x:c r="A153" s="69" t="str">
        <x:f>IF(131&lt;=$C$11,131,"")</x:f>
      </x:c>
      <x:c r="B153" s="70" t="str">
        <x:f>IF(A153="","",MAX(0,B152-MAX(0,D152-C152)))</x:f>
      </x:c>
      <x:c r="C153" s="70" t="str">
        <x:f>IF(A153="","",MAX(0,C152-D152))</x:f>
      </x:c>
      <x:c r="D153" s="70" t="str">
        <x:f>IF(A153="","",IF($C$17="Capitale costante",$F$6/$C$11,IF(A153=$C$11,$F$6,0)))</x:f>
      </x:c>
      <x:c r="E153" s="70" t="str">
        <x:f>IF(A153="","",B153*$C$9/12+C153*$C$10/12)</x:f>
      </x:c>
      <x:c r="F153" s="70" t="str">
        <x:f>IF(A153="","",D153+E153)</x:f>
      </x:c>
      <x:c r="G153" s="70" t="str">
        <x:f>IF(A153="","",MAX(0,B153+C153-D153))</x:f>
      </x:c>
      <x:c r="H153" s="52"/>
      <x:c r="I153" s="52"/>
      <x:c r="J153" s="52"/>
      <x:c r="K153" s="52"/>
    </x:row>
    <x:row r="154">
      <x:c r="A154" s="69" t="str">
        <x:f>IF(132&lt;=$C$11,132,"")</x:f>
      </x:c>
      <x:c r="B154" s="70" t="str">
        <x:f>IF(A154="","",MAX(0,B153-MAX(0,D153-C153)))</x:f>
      </x:c>
      <x:c r="C154" s="70" t="str">
        <x:f>IF(A154="","",MAX(0,C153-D153))</x:f>
      </x:c>
      <x:c r="D154" s="70" t="str">
        <x:f>IF(A154="","",IF($C$17="Capitale costante",$F$6/$C$11,IF(A154=$C$11,$F$6,0)))</x:f>
      </x:c>
      <x:c r="E154" s="70" t="str">
        <x:f>IF(A154="","",B154*$C$9/12+C154*$C$10/12)</x:f>
      </x:c>
      <x:c r="F154" s="70" t="str">
        <x:f>IF(A154="","",D154+E154)</x:f>
      </x:c>
      <x:c r="G154" s="70" t="str">
        <x:f>IF(A154="","",MAX(0,B154+C154-D154))</x:f>
      </x:c>
      <x:c r="H154" s="52"/>
      <x:c r="I154" s="52"/>
      <x:c r="J154" s="52"/>
      <x:c r="K154" s="52"/>
    </x:row>
    <x:row r="155">
      <x:c r="A155" s="69" t="str">
        <x:f>IF(133&lt;=$C$11,133,"")</x:f>
      </x:c>
      <x:c r="B155" s="70" t="str">
        <x:f>IF(A155="","",MAX(0,B154-MAX(0,D154-C154)))</x:f>
      </x:c>
      <x:c r="C155" s="70" t="str">
        <x:f>IF(A155="","",MAX(0,C154-D154))</x:f>
      </x:c>
      <x:c r="D155" s="70" t="str">
        <x:f>IF(A155="","",IF($C$17="Capitale costante",$F$6/$C$11,IF(A155=$C$11,$F$6,0)))</x:f>
      </x:c>
      <x:c r="E155" s="70" t="str">
        <x:f>IF(A155="","",B155*$C$9/12+C155*$C$10/12)</x:f>
      </x:c>
      <x:c r="F155" s="70" t="str">
        <x:f>IF(A155="","",D155+E155)</x:f>
      </x:c>
      <x:c r="G155" s="70" t="str">
        <x:f>IF(A155="","",MAX(0,B155+C155-D155))</x:f>
      </x:c>
      <x:c r="H155" s="52"/>
      <x:c r="I155" s="52"/>
      <x:c r="J155" s="52"/>
      <x:c r="K155" s="52"/>
    </x:row>
    <x:row r="156">
      <x:c r="A156" s="69" t="str">
        <x:f>IF(134&lt;=$C$11,134,"")</x:f>
      </x:c>
      <x:c r="B156" s="70" t="str">
        <x:f>IF(A156="","",MAX(0,B155-MAX(0,D155-C155)))</x:f>
      </x:c>
      <x:c r="C156" s="70" t="str">
        <x:f>IF(A156="","",MAX(0,C155-D155))</x:f>
      </x:c>
      <x:c r="D156" s="70" t="str">
        <x:f>IF(A156="","",IF($C$17="Capitale costante",$F$6/$C$11,IF(A156=$C$11,$F$6,0)))</x:f>
      </x:c>
      <x:c r="E156" s="70" t="str">
        <x:f>IF(A156="","",B156*$C$9/12+C156*$C$10/12)</x:f>
      </x:c>
      <x:c r="F156" s="70" t="str">
        <x:f>IF(A156="","",D156+E156)</x:f>
      </x:c>
      <x:c r="G156" s="70" t="str">
        <x:f>IF(A156="","",MAX(0,B156+C156-D156))</x:f>
      </x:c>
      <x:c r="H156" s="52"/>
      <x:c r="I156" s="52"/>
      <x:c r="J156" s="52"/>
      <x:c r="K156" s="52"/>
    </x:row>
    <x:row r="157">
      <x:c r="A157" s="69" t="str">
        <x:f>IF(135&lt;=$C$11,135,"")</x:f>
      </x:c>
      <x:c r="B157" s="70" t="str">
        <x:f>IF(A157="","",MAX(0,B156-MAX(0,D156-C156)))</x:f>
      </x:c>
      <x:c r="C157" s="70" t="str">
        <x:f>IF(A157="","",MAX(0,C156-D156))</x:f>
      </x:c>
      <x:c r="D157" s="70" t="str">
        <x:f>IF(A157="","",IF($C$17="Capitale costante",$F$6/$C$11,IF(A157=$C$11,$F$6,0)))</x:f>
      </x:c>
      <x:c r="E157" s="70" t="str">
        <x:f>IF(A157="","",B157*$C$9/12+C157*$C$10/12)</x:f>
      </x:c>
      <x:c r="F157" s="70" t="str">
        <x:f>IF(A157="","",D157+E157)</x:f>
      </x:c>
      <x:c r="G157" s="70" t="str">
        <x:f>IF(A157="","",MAX(0,B157+C157-D157))</x:f>
      </x:c>
      <x:c r="H157" s="52"/>
      <x:c r="I157" s="52"/>
      <x:c r="J157" s="52"/>
      <x:c r="K157" s="52"/>
    </x:row>
    <x:row r="158">
      <x:c r="A158" s="69" t="str">
        <x:f>IF(136&lt;=$C$11,136,"")</x:f>
      </x:c>
      <x:c r="B158" s="70" t="str">
        <x:f>IF(A158="","",MAX(0,B157-MAX(0,D157-C157)))</x:f>
      </x:c>
      <x:c r="C158" s="70" t="str">
        <x:f>IF(A158="","",MAX(0,C157-D157))</x:f>
      </x:c>
      <x:c r="D158" s="70" t="str">
        <x:f>IF(A158="","",IF($C$17="Capitale costante",$F$6/$C$11,IF(A158=$C$11,$F$6,0)))</x:f>
      </x:c>
      <x:c r="E158" s="70" t="str">
        <x:f>IF(A158="","",B158*$C$9/12+C158*$C$10/12)</x:f>
      </x:c>
      <x:c r="F158" s="70" t="str">
        <x:f>IF(A158="","",D158+E158)</x:f>
      </x:c>
      <x:c r="G158" s="70" t="str">
        <x:f>IF(A158="","",MAX(0,B158+C158-D158))</x:f>
      </x:c>
      <x:c r="H158" s="52"/>
      <x:c r="I158" s="52"/>
      <x:c r="J158" s="52"/>
      <x:c r="K158" s="52"/>
    </x:row>
    <x:row r="159">
      <x:c r="A159" s="69" t="str">
        <x:f>IF(137&lt;=$C$11,137,"")</x:f>
      </x:c>
      <x:c r="B159" s="70" t="str">
        <x:f>IF(A159="","",MAX(0,B158-MAX(0,D158-C158)))</x:f>
      </x:c>
      <x:c r="C159" s="70" t="str">
        <x:f>IF(A159="","",MAX(0,C158-D158))</x:f>
      </x:c>
      <x:c r="D159" s="70" t="str">
        <x:f>IF(A159="","",IF($C$17="Capitale costante",$F$6/$C$11,IF(A159=$C$11,$F$6,0)))</x:f>
      </x:c>
      <x:c r="E159" s="70" t="str">
        <x:f>IF(A159="","",B159*$C$9/12+C159*$C$10/12)</x:f>
      </x:c>
      <x:c r="F159" s="70" t="str">
        <x:f>IF(A159="","",D159+E159)</x:f>
      </x:c>
      <x:c r="G159" s="70" t="str">
        <x:f>IF(A159="","",MAX(0,B159+C159-D159))</x:f>
      </x:c>
      <x:c r="H159" s="52"/>
      <x:c r="I159" s="52"/>
      <x:c r="J159" s="52"/>
      <x:c r="K159" s="52"/>
    </x:row>
    <x:row r="160">
      <x:c r="A160" s="69" t="str">
        <x:f>IF(138&lt;=$C$11,138,"")</x:f>
      </x:c>
      <x:c r="B160" s="70" t="str">
        <x:f>IF(A160="","",MAX(0,B159-MAX(0,D159-C159)))</x:f>
      </x:c>
      <x:c r="C160" s="70" t="str">
        <x:f>IF(A160="","",MAX(0,C159-D159))</x:f>
      </x:c>
      <x:c r="D160" s="70" t="str">
        <x:f>IF(A160="","",IF($C$17="Capitale costante",$F$6/$C$11,IF(A160=$C$11,$F$6,0)))</x:f>
      </x:c>
      <x:c r="E160" s="70" t="str">
        <x:f>IF(A160="","",B160*$C$9/12+C160*$C$10/12)</x:f>
      </x:c>
      <x:c r="F160" s="70" t="str">
        <x:f>IF(A160="","",D160+E160)</x:f>
      </x:c>
      <x:c r="G160" s="70" t="str">
        <x:f>IF(A160="","",MAX(0,B160+C160-D160))</x:f>
      </x:c>
      <x:c r="H160" s="52"/>
      <x:c r="I160" s="52"/>
      <x:c r="J160" s="52"/>
      <x:c r="K160" s="52"/>
    </x:row>
    <x:row r="161">
      <x:c r="A161" s="69" t="str">
        <x:f>IF(139&lt;=$C$11,139,"")</x:f>
      </x:c>
      <x:c r="B161" s="70" t="str">
        <x:f>IF(A161="","",MAX(0,B160-MAX(0,D160-C160)))</x:f>
      </x:c>
      <x:c r="C161" s="70" t="str">
        <x:f>IF(A161="","",MAX(0,C160-D160))</x:f>
      </x:c>
      <x:c r="D161" s="70" t="str">
        <x:f>IF(A161="","",IF($C$17="Capitale costante",$F$6/$C$11,IF(A161=$C$11,$F$6,0)))</x:f>
      </x:c>
      <x:c r="E161" s="70" t="str">
        <x:f>IF(A161="","",B161*$C$9/12+C161*$C$10/12)</x:f>
      </x:c>
      <x:c r="F161" s="70" t="str">
        <x:f>IF(A161="","",D161+E161)</x:f>
      </x:c>
      <x:c r="G161" s="70" t="str">
        <x:f>IF(A161="","",MAX(0,B161+C161-D161))</x:f>
      </x:c>
      <x:c r="H161" s="52"/>
      <x:c r="I161" s="52"/>
      <x:c r="J161" s="52"/>
      <x:c r="K161" s="52"/>
    </x:row>
    <x:row r="162">
      <x:c r="A162" s="69" t="str">
        <x:f>IF(140&lt;=$C$11,140,"")</x:f>
      </x:c>
      <x:c r="B162" s="70" t="str">
        <x:f>IF(A162="","",MAX(0,B161-MAX(0,D161-C161)))</x:f>
      </x:c>
      <x:c r="C162" s="70" t="str">
        <x:f>IF(A162="","",MAX(0,C161-D161))</x:f>
      </x:c>
      <x:c r="D162" s="70" t="str">
        <x:f>IF(A162="","",IF($C$17="Capitale costante",$F$6/$C$11,IF(A162=$C$11,$F$6,0)))</x:f>
      </x:c>
      <x:c r="E162" s="70" t="str">
        <x:f>IF(A162="","",B162*$C$9/12+C162*$C$10/12)</x:f>
      </x:c>
      <x:c r="F162" s="70" t="str">
        <x:f>IF(A162="","",D162+E162)</x:f>
      </x:c>
      <x:c r="G162" s="70" t="str">
        <x:f>IF(A162="","",MAX(0,B162+C162-D162))</x:f>
      </x:c>
      <x:c r="H162" s="52"/>
      <x:c r="I162" s="52"/>
      <x:c r="J162" s="52"/>
      <x:c r="K162" s="52"/>
    </x:row>
    <x:row r="163">
      <x:c r="A163" s="69" t="str">
        <x:f>IF(141&lt;=$C$11,141,"")</x:f>
      </x:c>
      <x:c r="B163" s="70" t="str">
        <x:f>IF(A163="","",MAX(0,B162-MAX(0,D162-C162)))</x:f>
      </x:c>
      <x:c r="C163" s="70" t="str">
        <x:f>IF(A163="","",MAX(0,C162-D162))</x:f>
      </x:c>
      <x:c r="D163" s="70" t="str">
        <x:f>IF(A163="","",IF($C$17="Capitale costante",$F$6/$C$11,IF(A163=$C$11,$F$6,0)))</x:f>
      </x:c>
      <x:c r="E163" s="70" t="str">
        <x:f>IF(A163="","",B163*$C$9/12+C163*$C$10/12)</x:f>
      </x:c>
      <x:c r="F163" s="70" t="str">
        <x:f>IF(A163="","",D163+E163)</x:f>
      </x:c>
      <x:c r="G163" s="70" t="str">
        <x:f>IF(A163="","",MAX(0,B163+C163-D163))</x:f>
      </x:c>
      <x:c r="H163" s="52"/>
      <x:c r="I163" s="52"/>
      <x:c r="J163" s="52"/>
      <x:c r="K163" s="52"/>
    </x:row>
    <x:row r="164">
      <x:c r="A164" s="69" t="str">
        <x:f>IF(142&lt;=$C$11,142,"")</x:f>
      </x:c>
      <x:c r="B164" s="70" t="str">
        <x:f>IF(A164="","",MAX(0,B163-MAX(0,D163-C163)))</x:f>
      </x:c>
      <x:c r="C164" s="70" t="str">
        <x:f>IF(A164="","",MAX(0,C163-D163))</x:f>
      </x:c>
      <x:c r="D164" s="70" t="str">
        <x:f>IF(A164="","",IF($C$17="Capitale costante",$F$6/$C$11,IF(A164=$C$11,$F$6,0)))</x:f>
      </x:c>
      <x:c r="E164" s="70" t="str">
        <x:f>IF(A164="","",B164*$C$9/12+C164*$C$10/12)</x:f>
      </x:c>
      <x:c r="F164" s="70" t="str">
        <x:f>IF(A164="","",D164+E164)</x:f>
      </x:c>
      <x:c r="G164" s="70" t="str">
        <x:f>IF(A164="","",MAX(0,B164+C164-D164))</x:f>
      </x:c>
      <x:c r="H164" s="52"/>
      <x:c r="I164" s="52"/>
      <x:c r="J164" s="52"/>
      <x:c r="K164" s="52"/>
    </x:row>
    <x:row r="165">
      <x:c r="A165" s="69" t="str">
        <x:f>IF(143&lt;=$C$11,143,"")</x:f>
      </x:c>
      <x:c r="B165" s="70" t="str">
        <x:f>IF(A165="","",MAX(0,B164-MAX(0,D164-C164)))</x:f>
      </x:c>
      <x:c r="C165" s="70" t="str">
        <x:f>IF(A165="","",MAX(0,C164-D164))</x:f>
      </x:c>
      <x:c r="D165" s="70" t="str">
        <x:f>IF(A165="","",IF($C$17="Capitale costante",$F$6/$C$11,IF(A165=$C$11,$F$6,0)))</x:f>
      </x:c>
      <x:c r="E165" s="70" t="str">
        <x:f>IF(A165="","",B165*$C$9/12+C165*$C$10/12)</x:f>
      </x:c>
      <x:c r="F165" s="70" t="str">
        <x:f>IF(A165="","",D165+E165)</x:f>
      </x:c>
      <x:c r="G165" s="70" t="str">
        <x:f>IF(A165="","",MAX(0,B165+C165-D165))</x:f>
      </x:c>
      <x:c r="H165" s="52"/>
      <x:c r="I165" s="52"/>
      <x:c r="J165" s="52"/>
      <x:c r="K165" s="52"/>
    </x:row>
    <x:row r="166">
      <x:c r="A166" s="69" t="str">
        <x:f>IF(144&lt;=$C$11,144,"")</x:f>
      </x:c>
      <x:c r="B166" s="70" t="str">
        <x:f>IF(A166="","",MAX(0,B165-MAX(0,D165-C165)))</x:f>
      </x:c>
      <x:c r="C166" s="70" t="str">
        <x:f>IF(A166="","",MAX(0,C165-D165))</x:f>
      </x:c>
      <x:c r="D166" s="70" t="str">
        <x:f>IF(A166="","",IF($C$17="Capitale costante",$F$6/$C$11,IF(A166=$C$11,$F$6,0)))</x:f>
      </x:c>
      <x:c r="E166" s="70" t="str">
        <x:f>IF(A166="","",B166*$C$9/12+C166*$C$10/12)</x:f>
      </x:c>
      <x:c r="F166" s="70" t="str">
        <x:f>IF(A166="","",D166+E166)</x:f>
      </x:c>
      <x:c r="G166" s="70" t="str">
        <x:f>IF(A166="","",MAX(0,B166+C166-D166))</x:f>
      </x:c>
      <x:c r="H166" s="52"/>
      <x:c r="I166" s="52"/>
      <x:c r="J166" s="52"/>
      <x:c r="K166" s="52"/>
    </x:row>
    <x:row r="167">
      <x:c r="A167" s="69" t="str">
        <x:f>IF(145&lt;=$C$11,145,"")</x:f>
      </x:c>
      <x:c r="B167" s="70" t="str">
        <x:f>IF(A167="","",MAX(0,B166-MAX(0,D166-C166)))</x:f>
      </x:c>
      <x:c r="C167" s="70" t="str">
        <x:f>IF(A167="","",MAX(0,C166-D166))</x:f>
      </x:c>
      <x:c r="D167" s="70" t="str">
        <x:f>IF(A167="","",IF($C$17="Capitale costante",$F$6/$C$11,IF(A167=$C$11,$F$6,0)))</x:f>
      </x:c>
      <x:c r="E167" s="70" t="str">
        <x:f>IF(A167="","",B167*$C$9/12+C167*$C$10/12)</x:f>
      </x:c>
      <x:c r="F167" s="70" t="str">
        <x:f>IF(A167="","",D167+E167)</x:f>
      </x:c>
      <x:c r="G167" s="70" t="str">
        <x:f>IF(A167="","",MAX(0,B167+C167-D167))</x:f>
      </x:c>
      <x:c r="H167" s="52"/>
      <x:c r="I167" s="52"/>
      <x:c r="J167" s="52"/>
      <x:c r="K167" s="52"/>
    </x:row>
    <x:row r="168">
      <x:c r="A168" s="69" t="str">
        <x:f>IF(146&lt;=$C$11,146,"")</x:f>
      </x:c>
      <x:c r="B168" s="70" t="str">
        <x:f>IF(A168="","",MAX(0,B167-MAX(0,D167-C167)))</x:f>
      </x:c>
      <x:c r="C168" s="70" t="str">
        <x:f>IF(A168="","",MAX(0,C167-D167))</x:f>
      </x:c>
      <x:c r="D168" s="70" t="str">
        <x:f>IF(A168="","",IF($C$17="Capitale costante",$F$6/$C$11,IF(A168=$C$11,$F$6,0)))</x:f>
      </x:c>
      <x:c r="E168" s="70" t="str">
        <x:f>IF(A168="","",B168*$C$9/12+C168*$C$10/12)</x:f>
      </x:c>
      <x:c r="F168" s="70" t="str">
        <x:f>IF(A168="","",D168+E168)</x:f>
      </x:c>
      <x:c r="G168" s="70" t="str">
        <x:f>IF(A168="","",MAX(0,B168+C168-D168))</x:f>
      </x:c>
      <x:c r="H168" s="52"/>
      <x:c r="I168" s="52"/>
      <x:c r="J168" s="52"/>
      <x:c r="K168" s="52"/>
    </x:row>
    <x:row r="169">
      <x:c r="A169" s="69" t="str">
        <x:f>IF(147&lt;=$C$11,147,"")</x:f>
      </x:c>
      <x:c r="B169" s="70" t="str">
        <x:f>IF(A169="","",MAX(0,B168-MAX(0,D168-C168)))</x:f>
      </x:c>
      <x:c r="C169" s="70" t="str">
        <x:f>IF(A169="","",MAX(0,C168-D168))</x:f>
      </x:c>
      <x:c r="D169" s="70" t="str">
        <x:f>IF(A169="","",IF($C$17="Capitale costante",$F$6/$C$11,IF(A169=$C$11,$F$6,0)))</x:f>
      </x:c>
      <x:c r="E169" s="70" t="str">
        <x:f>IF(A169="","",B169*$C$9/12+C169*$C$10/12)</x:f>
      </x:c>
      <x:c r="F169" s="70" t="str">
        <x:f>IF(A169="","",D169+E169)</x:f>
      </x:c>
      <x:c r="G169" s="70" t="str">
        <x:f>IF(A169="","",MAX(0,B169+C169-D169))</x:f>
      </x:c>
      <x:c r="H169" s="52"/>
      <x:c r="I169" s="52"/>
      <x:c r="J169" s="52"/>
      <x:c r="K169" s="52"/>
    </x:row>
    <x:row r="170">
      <x:c r="A170" s="69" t="str">
        <x:f>IF(148&lt;=$C$11,148,"")</x:f>
      </x:c>
      <x:c r="B170" s="70" t="str">
        <x:f>IF(A170="","",MAX(0,B169-MAX(0,D169-C169)))</x:f>
      </x:c>
      <x:c r="C170" s="70" t="str">
        <x:f>IF(A170="","",MAX(0,C169-D169))</x:f>
      </x:c>
      <x:c r="D170" s="70" t="str">
        <x:f>IF(A170="","",IF($C$17="Capitale costante",$F$6/$C$11,IF(A170=$C$11,$F$6,0)))</x:f>
      </x:c>
      <x:c r="E170" s="70" t="str">
        <x:f>IF(A170="","",B170*$C$9/12+C170*$C$10/12)</x:f>
      </x:c>
      <x:c r="F170" s="70" t="str">
        <x:f>IF(A170="","",D170+E170)</x:f>
      </x:c>
      <x:c r="G170" s="70" t="str">
        <x:f>IF(A170="","",MAX(0,B170+C170-D170))</x:f>
      </x:c>
      <x:c r="H170" s="52"/>
      <x:c r="I170" s="52"/>
      <x:c r="J170" s="52"/>
      <x:c r="K170" s="52"/>
    </x:row>
    <x:row r="171">
      <x:c r="A171" s="69" t="str">
        <x:f>IF(149&lt;=$C$11,149,"")</x:f>
      </x:c>
      <x:c r="B171" s="70" t="str">
        <x:f>IF(A171="","",MAX(0,B170-MAX(0,D170-C170)))</x:f>
      </x:c>
      <x:c r="C171" s="70" t="str">
        <x:f>IF(A171="","",MAX(0,C170-D170))</x:f>
      </x:c>
      <x:c r="D171" s="70" t="str">
        <x:f>IF(A171="","",IF($C$17="Capitale costante",$F$6/$C$11,IF(A171=$C$11,$F$6,0)))</x:f>
      </x:c>
      <x:c r="E171" s="70" t="str">
        <x:f>IF(A171="","",B171*$C$9/12+C171*$C$10/12)</x:f>
      </x:c>
      <x:c r="F171" s="70" t="str">
        <x:f>IF(A171="","",D171+E171)</x:f>
      </x:c>
      <x:c r="G171" s="70" t="str">
        <x:f>IF(A171="","",MAX(0,B171+C171-D171))</x:f>
      </x:c>
      <x:c r="H171" s="52"/>
      <x:c r="I171" s="52"/>
      <x:c r="J171" s="52"/>
      <x:c r="K171" s="52"/>
    </x:row>
    <x:row r="172">
      <x:c r="A172" s="69" t="str">
        <x:f>IF(150&lt;=$C$11,150,"")</x:f>
      </x:c>
      <x:c r="B172" s="70" t="str">
        <x:f>IF(A172="","",MAX(0,B171-MAX(0,D171-C171)))</x:f>
      </x:c>
      <x:c r="C172" s="70" t="str">
        <x:f>IF(A172="","",MAX(0,C171-D171))</x:f>
      </x:c>
      <x:c r="D172" s="70" t="str">
        <x:f>IF(A172="","",IF($C$17="Capitale costante",$F$6/$C$11,IF(A172=$C$11,$F$6,0)))</x:f>
      </x:c>
      <x:c r="E172" s="70" t="str">
        <x:f>IF(A172="","",B172*$C$9/12+C172*$C$10/12)</x:f>
      </x:c>
      <x:c r="F172" s="70" t="str">
        <x:f>IF(A172="","",D172+E172)</x:f>
      </x:c>
      <x:c r="G172" s="70" t="str">
        <x:f>IF(A172="","",MAX(0,B172+C172-D172))</x:f>
      </x:c>
      <x:c r="H172" s="52"/>
      <x:c r="I172" s="52"/>
      <x:c r="J172" s="52"/>
      <x:c r="K172" s="52"/>
    </x:row>
    <x:row r="173">
      <x:c r="A173" s="69" t="str">
        <x:f>IF(151&lt;=$C$11,151,"")</x:f>
      </x:c>
      <x:c r="B173" s="70" t="str">
        <x:f>IF(A173="","",MAX(0,B172-MAX(0,D172-C172)))</x:f>
      </x:c>
      <x:c r="C173" s="70" t="str">
        <x:f>IF(A173="","",MAX(0,C172-D172))</x:f>
      </x:c>
      <x:c r="D173" s="70" t="str">
        <x:f>IF(A173="","",IF($C$17="Capitale costante",$F$6/$C$11,IF(A173=$C$11,$F$6,0)))</x:f>
      </x:c>
      <x:c r="E173" s="70" t="str">
        <x:f>IF(A173="","",B173*$C$9/12+C173*$C$10/12)</x:f>
      </x:c>
      <x:c r="F173" s="70" t="str">
        <x:f>IF(A173="","",D173+E173)</x:f>
      </x:c>
      <x:c r="G173" s="70" t="str">
        <x:f>IF(A173="","",MAX(0,B173+C173-D173))</x:f>
      </x:c>
      <x:c r="H173" s="52"/>
      <x:c r="I173" s="52"/>
      <x:c r="J173" s="52"/>
      <x:c r="K173" s="52"/>
    </x:row>
    <x:row r="174">
      <x:c r="A174" s="69" t="str">
        <x:f>IF(152&lt;=$C$11,152,"")</x:f>
      </x:c>
      <x:c r="B174" s="70" t="str">
        <x:f>IF(A174="","",MAX(0,B173-MAX(0,D173-C173)))</x:f>
      </x:c>
      <x:c r="C174" s="70" t="str">
        <x:f>IF(A174="","",MAX(0,C173-D173))</x:f>
      </x:c>
      <x:c r="D174" s="70" t="str">
        <x:f>IF(A174="","",IF($C$17="Capitale costante",$F$6/$C$11,IF(A174=$C$11,$F$6,0)))</x:f>
      </x:c>
      <x:c r="E174" s="70" t="str">
        <x:f>IF(A174="","",B174*$C$9/12+C174*$C$10/12)</x:f>
      </x:c>
      <x:c r="F174" s="70" t="str">
        <x:f>IF(A174="","",D174+E174)</x:f>
      </x:c>
      <x:c r="G174" s="70" t="str">
        <x:f>IF(A174="","",MAX(0,B174+C174-D174))</x:f>
      </x:c>
      <x:c r="H174" s="52"/>
      <x:c r="I174" s="52"/>
      <x:c r="J174" s="52"/>
      <x:c r="K174" s="52"/>
    </x:row>
    <x:row r="175">
      <x:c r="A175" s="69" t="str">
        <x:f>IF(153&lt;=$C$11,153,"")</x:f>
      </x:c>
      <x:c r="B175" s="70" t="str">
        <x:f>IF(A175="","",MAX(0,B174-MAX(0,D174-C174)))</x:f>
      </x:c>
      <x:c r="C175" s="70" t="str">
        <x:f>IF(A175="","",MAX(0,C174-D174))</x:f>
      </x:c>
      <x:c r="D175" s="70" t="str">
        <x:f>IF(A175="","",IF($C$17="Capitale costante",$F$6/$C$11,IF(A175=$C$11,$F$6,0)))</x:f>
      </x:c>
      <x:c r="E175" s="70" t="str">
        <x:f>IF(A175="","",B175*$C$9/12+C175*$C$10/12)</x:f>
      </x:c>
      <x:c r="F175" s="70" t="str">
        <x:f>IF(A175="","",D175+E175)</x:f>
      </x:c>
      <x:c r="G175" s="70" t="str">
        <x:f>IF(A175="","",MAX(0,B175+C175-D175))</x:f>
      </x:c>
      <x:c r="H175" s="52"/>
      <x:c r="I175" s="52"/>
      <x:c r="J175" s="52"/>
      <x:c r="K175" s="52"/>
    </x:row>
    <x:row r="176">
      <x:c r="A176" s="69" t="str">
        <x:f>IF(154&lt;=$C$11,154,"")</x:f>
      </x:c>
      <x:c r="B176" s="70" t="str">
        <x:f>IF(A176="","",MAX(0,B175-MAX(0,D175-C175)))</x:f>
      </x:c>
      <x:c r="C176" s="70" t="str">
        <x:f>IF(A176="","",MAX(0,C175-D175))</x:f>
      </x:c>
      <x:c r="D176" s="70" t="str">
        <x:f>IF(A176="","",IF($C$17="Capitale costante",$F$6/$C$11,IF(A176=$C$11,$F$6,0)))</x:f>
      </x:c>
      <x:c r="E176" s="70" t="str">
        <x:f>IF(A176="","",B176*$C$9/12+C176*$C$10/12)</x:f>
      </x:c>
      <x:c r="F176" s="70" t="str">
        <x:f>IF(A176="","",D176+E176)</x:f>
      </x:c>
      <x:c r="G176" s="70" t="str">
        <x:f>IF(A176="","",MAX(0,B176+C176-D176))</x:f>
      </x:c>
      <x:c r="H176" s="52"/>
      <x:c r="I176" s="52"/>
      <x:c r="J176" s="52"/>
      <x:c r="K176" s="52"/>
    </x:row>
    <x:row r="177">
      <x:c r="A177" s="69" t="str">
        <x:f>IF(155&lt;=$C$11,155,"")</x:f>
      </x:c>
      <x:c r="B177" s="70" t="str">
        <x:f>IF(A177="","",MAX(0,B176-MAX(0,D176-C176)))</x:f>
      </x:c>
      <x:c r="C177" s="70" t="str">
        <x:f>IF(A177="","",MAX(0,C176-D176))</x:f>
      </x:c>
      <x:c r="D177" s="70" t="str">
        <x:f>IF(A177="","",IF($C$17="Capitale costante",$F$6/$C$11,IF(A177=$C$11,$F$6,0)))</x:f>
      </x:c>
      <x:c r="E177" s="70" t="str">
        <x:f>IF(A177="","",B177*$C$9/12+C177*$C$10/12)</x:f>
      </x:c>
      <x:c r="F177" s="70" t="str">
        <x:f>IF(A177="","",D177+E177)</x:f>
      </x:c>
      <x:c r="G177" s="70" t="str">
        <x:f>IF(A177="","",MAX(0,B177+C177-D177))</x:f>
      </x:c>
      <x:c r="H177" s="52"/>
      <x:c r="I177" s="52"/>
      <x:c r="J177" s="52"/>
      <x:c r="K177" s="52"/>
    </x:row>
    <x:row r="178">
      <x:c r="A178" s="69" t="str">
        <x:f>IF(156&lt;=$C$11,156,"")</x:f>
      </x:c>
      <x:c r="B178" s="70" t="str">
        <x:f>IF(A178="","",MAX(0,B177-MAX(0,D177-C177)))</x:f>
      </x:c>
      <x:c r="C178" s="70" t="str">
        <x:f>IF(A178="","",MAX(0,C177-D177))</x:f>
      </x:c>
      <x:c r="D178" s="70" t="str">
        <x:f>IF(A178="","",IF($C$17="Capitale costante",$F$6/$C$11,IF(A178=$C$11,$F$6,0)))</x:f>
      </x:c>
      <x:c r="E178" s="70" t="str">
        <x:f>IF(A178="","",B178*$C$9/12+C178*$C$10/12)</x:f>
      </x:c>
      <x:c r="F178" s="70" t="str">
        <x:f>IF(A178="","",D178+E178)</x:f>
      </x:c>
      <x:c r="G178" s="70" t="str">
        <x:f>IF(A178="","",MAX(0,B178+C178-D178))</x:f>
      </x:c>
      <x:c r="H178" s="52"/>
      <x:c r="I178" s="52"/>
      <x:c r="J178" s="52"/>
      <x:c r="K178" s="52"/>
    </x:row>
    <x:row r="179">
      <x:c r="A179" s="69" t="str">
        <x:f>IF(157&lt;=$C$11,157,"")</x:f>
      </x:c>
      <x:c r="B179" s="70" t="str">
        <x:f>IF(A179="","",MAX(0,B178-MAX(0,D178-C178)))</x:f>
      </x:c>
      <x:c r="C179" s="70" t="str">
        <x:f>IF(A179="","",MAX(0,C178-D178))</x:f>
      </x:c>
      <x:c r="D179" s="70" t="str">
        <x:f>IF(A179="","",IF($C$17="Capitale costante",$F$6/$C$11,IF(A179=$C$11,$F$6,0)))</x:f>
      </x:c>
      <x:c r="E179" s="70" t="str">
        <x:f>IF(A179="","",B179*$C$9/12+C179*$C$10/12)</x:f>
      </x:c>
      <x:c r="F179" s="70" t="str">
        <x:f>IF(A179="","",D179+E179)</x:f>
      </x:c>
      <x:c r="G179" s="70" t="str">
        <x:f>IF(A179="","",MAX(0,B179+C179-D179))</x:f>
      </x:c>
      <x:c r="H179" s="52"/>
      <x:c r="I179" s="52"/>
      <x:c r="J179" s="52"/>
      <x:c r="K179" s="52"/>
    </x:row>
    <x:row r="180">
      <x:c r="A180" s="69" t="str">
        <x:f>IF(158&lt;=$C$11,158,"")</x:f>
      </x:c>
      <x:c r="B180" s="70" t="str">
        <x:f>IF(A180="","",MAX(0,B179-MAX(0,D179-C179)))</x:f>
      </x:c>
      <x:c r="C180" s="70" t="str">
        <x:f>IF(A180="","",MAX(0,C179-D179))</x:f>
      </x:c>
      <x:c r="D180" s="70" t="str">
        <x:f>IF(A180="","",IF($C$17="Capitale costante",$F$6/$C$11,IF(A180=$C$11,$F$6,0)))</x:f>
      </x:c>
      <x:c r="E180" s="70" t="str">
        <x:f>IF(A180="","",B180*$C$9/12+C180*$C$10/12)</x:f>
      </x:c>
      <x:c r="F180" s="70" t="str">
        <x:f>IF(A180="","",D180+E180)</x:f>
      </x:c>
      <x:c r="G180" s="70" t="str">
        <x:f>IF(A180="","",MAX(0,B180+C180-D180))</x:f>
      </x:c>
      <x:c r="H180" s="52"/>
      <x:c r="I180" s="52"/>
      <x:c r="J180" s="52"/>
      <x:c r="K180" s="52"/>
    </x:row>
    <x:row r="181">
      <x:c r="A181" s="69" t="str">
        <x:f>IF(159&lt;=$C$11,159,"")</x:f>
      </x:c>
      <x:c r="B181" s="70" t="str">
        <x:f>IF(A181="","",MAX(0,B180-MAX(0,D180-C180)))</x:f>
      </x:c>
      <x:c r="C181" s="70" t="str">
        <x:f>IF(A181="","",MAX(0,C180-D180))</x:f>
      </x:c>
      <x:c r="D181" s="70" t="str">
        <x:f>IF(A181="","",IF($C$17="Capitale costante",$F$6/$C$11,IF(A181=$C$11,$F$6,0)))</x:f>
      </x:c>
      <x:c r="E181" s="70" t="str">
        <x:f>IF(A181="","",B181*$C$9/12+C181*$C$10/12)</x:f>
      </x:c>
      <x:c r="F181" s="70" t="str">
        <x:f>IF(A181="","",D181+E181)</x:f>
      </x:c>
      <x:c r="G181" s="70" t="str">
        <x:f>IF(A181="","",MAX(0,B181+C181-D181))</x:f>
      </x:c>
      <x:c r="H181" s="52"/>
      <x:c r="I181" s="52"/>
      <x:c r="J181" s="52"/>
      <x:c r="K181" s="52"/>
    </x:row>
    <x:row r="182">
      <x:c r="A182" s="69" t="str">
        <x:f>IF(160&lt;=$C$11,160,"")</x:f>
      </x:c>
      <x:c r="B182" s="70" t="str">
        <x:f>IF(A182="","",MAX(0,B181-MAX(0,D181-C181)))</x:f>
      </x:c>
      <x:c r="C182" s="70" t="str">
        <x:f>IF(A182="","",MAX(0,C181-D181))</x:f>
      </x:c>
      <x:c r="D182" s="70" t="str">
        <x:f>IF(A182="","",IF($C$17="Capitale costante",$F$6/$C$11,IF(A182=$C$11,$F$6,0)))</x:f>
      </x:c>
      <x:c r="E182" s="70" t="str">
        <x:f>IF(A182="","",B182*$C$9/12+C182*$C$10/12)</x:f>
      </x:c>
      <x:c r="F182" s="70" t="str">
        <x:f>IF(A182="","",D182+E182)</x:f>
      </x:c>
      <x:c r="G182" s="70" t="str">
        <x:f>IF(A182="","",MAX(0,B182+C182-D182))</x:f>
      </x:c>
      <x:c r="H182" s="52"/>
      <x:c r="I182" s="52"/>
      <x:c r="J182" s="52"/>
      <x:c r="K182" s="52"/>
    </x:row>
    <x:row r="183">
      <x:c r="A183" s="69" t="str">
        <x:f>IF(161&lt;=$C$11,161,"")</x:f>
      </x:c>
      <x:c r="B183" s="70" t="str">
        <x:f>IF(A183="","",MAX(0,B182-MAX(0,D182-C182)))</x:f>
      </x:c>
      <x:c r="C183" s="70" t="str">
        <x:f>IF(A183="","",MAX(0,C182-D182))</x:f>
      </x:c>
      <x:c r="D183" s="70" t="str">
        <x:f>IF(A183="","",IF($C$17="Capitale costante",$F$6/$C$11,IF(A183=$C$11,$F$6,0)))</x:f>
      </x:c>
      <x:c r="E183" s="70" t="str">
        <x:f>IF(A183="","",B183*$C$9/12+C183*$C$10/12)</x:f>
      </x:c>
      <x:c r="F183" s="70" t="str">
        <x:f>IF(A183="","",D183+E183)</x:f>
      </x:c>
      <x:c r="G183" s="70" t="str">
        <x:f>IF(A183="","",MAX(0,B183+C183-D183))</x:f>
      </x:c>
      <x:c r="H183" s="52"/>
      <x:c r="I183" s="52"/>
      <x:c r="J183" s="52"/>
      <x:c r="K183" s="52"/>
    </x:row>
    <x:row r="184">
      <x:c r="A184" s="69" t="str">
        <x:f>IF(162&lt;=$C$11,162,"")</x:f>
      </x:c>
      <x:c r="B184" s="70" t="str">
        <x:f>IF(A184="","",MAX(0,B183-MAX(0,D183-C183)))</x:f>
      </x:c>
      <x:c r="C184" s="70" t="str">
        <x:f>IF(A184="","",MAX(0,C183-D183))</x:f>
      </x:c>
      <x:c r="D184" s="70" t="str">
        <x:f>IF(A184="","",IF($C$17="Capitale costante",$F$6/$C$11,IF(A184=$C$11,$F$6,0)))</x:f>
      </x:c>
      <x:c r="E184" s="70" t="str">
        <x:f>IF(A184="","",B184*$C$9/12+C184*$C$10/12)</x:f>
      </x:c>
      <x:c r="F184" s="70" t="str">
        <x:f>IF(A184="","",D184+E184)</x:f>
      </x:c>
      <x:c r="G184" s="70" t="str">
        <x:f>IF(A184="","",MAX(0,B184+C184-D184))</x:f>
      </x:c>
      <x:c r="H184" s="52"/>
      <x:c r="I184" s="52"/>
      <x:c r="J184" s="52"/>
      <x:c r="K184" s="52"/>
    </x:row>
    <x:row r="185">
      <x:c r="A185" s="69" t="str">
        <x:f>IF(163&lt;=$C$11,163,"")</x:f>
      </x:c>
      <x:c r="B185" s="70" t="str">
        <x:f>IF(A185="","",MAX(0,B184-MAX(0,D184-C184)))</x:f>
      </x:c>
      <x:c r="C185" s="70" t="str">
        <x:f>IF(A185="","",MAX(0,C184-D184))</x:f>
      </x:c>
      <x:c r="D185" s="70" t="str">
        <x:f>IF(A185="","",IF($C$17="Capitale costante",$F$6/$C$11,IF(A185=$C$11,$F$6,0)))</x:f>
      </x:c>
      <x:c r="E185" s="70" t="str">
        <x:f>IF(A185="","",B185*$C$9/12+C185*$C$10/12)</x:f>
      </x:c>
      <x:c r="F185" s="70" t="str">
        <x:f>IF(A185="","",D185+E185)</x:f>
      </x:c>
      <x:c r="G185" s="70" t="str">
        <x:f>IF(A185="","",MAX(0,B185+C185-D185))</x:f>
      </x:c>
      <x:c r="H185" s="52"/>
      <x:c r="I185" s="52"/>
      <x:c r="J185" s="52"/>
      <x:c r="K185" s="52"/>
    </x:row>
    <x:row r="186">
      <x:c r="A186" s="69" t="str">
        <x:f>IF(164&lt;=$C$11,164,"")</x:f>
      </x:c>
      <x:c r="B186" s="70" t="str">
        <x:f>IF(A186="","",MAX(0,B185-MAX(0,D185-C185)))</x:f>
      </x:c>
      <x:c r="C186" s="70" t="str">
        <x:f>IF(A186="","",MAX(0,C185-D185))</x:f>
      </x:c>
      <x:c r="D186" s="70" t="str">
        <x:f>IF(A186="","",IF($C$17="Capitale costante",$F$6/$C$11,IF(A186=$C$11,$F$6,0)))</x:f>
      </x:c>
      <x:c r="E186" s="70" t="str">
        <x:f>IF(A186="","",B186*$C$9/12+C186*$C$10/12)</x:f>
      </x:c>
      <x:c r="F186" s="70" t="str">
        <x:f>IF(A186="","",D186+E186)</x:f>
      </x:c>
      <x:c r="G186" s="70" t="str">
        <x:f>IF(A186="","",MAX(0,B186+C186-D186))</x:f>
      </x:c>
      <x:c r="H186" s="52"/>
      <x:c r="I186" s="52"/>
      <x:c r="J186" s="52"/>
      <x:c r="K186" s="52"/>
    </x:row>
    <x:row r="187">
      <x:c r="A187" s="69" t="str">
        <x:f>IF(165&lt;=$C$11,165,"")</x:f>
      </x:c>
      <x:c r="B187" s="70" t="str">
        <x:f>IF(A187="","",MAX(0,B186-MAX(0,D186-C186)))</x:f>
      </x:c>
      <x:c r="C187" s="70" t="str">
        <x:f>IF(A187="","",MAX(0,C186-D186))</x:f>
      </x:c>
      <x:c r="D187" s="70" t="str">
        <x:f>IF(A187="","",IF($C$17="Capitale costante",$F$6/$C$11,IF(A187=$C$11,$F$6,0)))</x:f>
      </x:c>
      <x:c r="E187" s="70" t="str">
        <x:f>IF(A187="","",B187*$C$9/12+C187*$C$10/12)</x:f>
      </x:c>
      <x:c r="F187" s="70" t="str">
        <x:f>IF(A187="","",D187+E187)</x:f>
      </x:c>
      <x:c r="G187" s="70" t="str">
        <x:f>IF(A187="","",MAX(0,B187+C187-D187))</x:f>
      </x:c>
      <x:c r="H187" s="52"/>
      <x:c r="I187" s="52"/>
      <x:c r="J187" s="52"/>
      <x:c r="K187" s="52"/>
    </x:row>
    <x:row r="188">
      <x:c r="A188" s="69" t="str">
        <x:f>IF(166&lt;=$C$11,166,"")</x:f>
      </x:c>
      <x:c r="B188" s="70" t="str">
        <x:f>IF(A188="","",MAX(0,B187-MAX(0,D187-C187)))</x:f>
      </x:c>
      <x:c r="C188" s="70" t="str">
        <x:f>IF(A188="","",MAX(0,C187-D187))</x:f>
      </x:c>
      <x:c r="D188" s="70" t="str">
        <x:f>IF(A188="","",IF($C$17="Capitale costante",$F$6/$C$11,IF(A188=$C$11,$F$6,0)))</x:f>
      </x:c>
      <x:c r="E188" s="70" t="str">
        <x:f>IF(A188="","",B188*$C$9/12+C188*$C$10/12)</x:f>
      </x:c>
      <x:c r="F188" s="70" t="str">
        <x:f>IF(A188="","",D188+E188)</x:f>
      </x:c>
      <x:c r="G188" s="70" t="str">
        <x:f>IF(A188="","",MAX(0,B188+C188-D188))</x:f>
      </x:c>
      <x:c r="H188" s="52"/>
      <x:c r="I188" s="52"/>
      <x:c r="J188" s="52"/>
      <x:c r="K188" s="52"/>
    </x:row>
    <x:row r="189">
      <x:c r="A189" s="69" t="str">
        <x:f>IF(167&lt;=$C$11,167,"")</x:f>
      </x:c>
      <x:c r="B189" s="70" t="str">
        <x:f>IF(A189="","",MAX(0,B188-MAX(0,D188-C188)))</x:f>
      </x:c>
      <x:c r="C189" s="70" t="str">
        <x:f>IF(A189="","",MAX(0,C188-D188))</x:f>
      </x:c>
      <x:c r="D189" s="70" t="str">
        <x:f>IF(A189="","",IF($C$17="Capitale costante",$F$6/$C$11,IF(A189=$C$11,$F$6,0)))</x:f>
      </x:c>
      <x:c r="E189" s="70" t="str">
        <x:f>IF(A189="","",B189*$C$9/12+C189*$C$10/12)</x:f>
      </x:c>
      <x:c r="F189" s="70" t="str">
        <x:f>IF(A189="","",D189+E189)</x:f>
      </x:c>
      <x:c r="G189" s="70" t="str">
        <x:f>IF(A189="","",MAX(0,B189+C189-D189))</x:f>
      </x:c>
      <x:c r="H189" s="52"/>
      <x:c r="I189" s="52"/>
      <x:c r="J189" s="52"/>
      <x:c r="K189" s="52"/>
    </x:row>
    <x:row r="190">
      <x:c r="A190" s="69" t="str">
        <x:f>IF(168&lt;=$C$11,168,"")</x:f>
      </x:c>
      <x:c r="B190" s="70" t="str">
        <x:f>IF(A190="","",MAX(0,B189-MAX(0,D189-C189)))</x:f>
      </x:c>
      <x:c r="C190" s="70" t="str">
        <x:f>IF(A190="","",MAX(0,C189-D189))</x:f>
      </x:c>
      <x:c r="D190" s="70" t="str">
        <x:f>IF(A190="","",IF($C$17="Capitale costante",$F$6/$C$11,IF(A190=$C$11,$F$6,0)))</x:f>
      </x:c>
      <x:c r="E190" s="70" t="str">
        <x:f>IF(A190="","",B190*$C$9/12+C190*$C$10/12)</x:f>
      </x:c>
      <x:c r="F190" s="70" t="str">
        <x:f>IF(A190="","",D190+E190)</x:f>
      </x:c>
      <x:c r="G190" s="70" t="str">
        <x:f>IF(A190="","",MAX(0,B190+C190-D190))</x:f>
      </x:c>
      <x:c r="H190" s="52"/>
      <x:c r="I190" s="52"/>
      <x:c r="J190" s="52"/>
      <x:c r="K190" s="52"/>
    </x:row>
    <x:row r="191">
      <x:c r="A191" s="69" t="str">
        <x:f>IF(169&lt;=$C$11,169,"")</x:f>
      </x:c>
      <x:c r="B191" s="70" t="str">
        <x:f>IF(A191="","",MAX(0,B190-MAX(0,D190-C190)))</x:f>
      </x:c>
      <x:c r="C191" s="70" t="str">
        <x:f>IF(A191="","",MAX(0,C190-D190))</x:f>
      </x:c>
      <x:c r="D191" s="70" t="str">
        <x:f>IF(A191="","",IF($C$17="Capitale costante",$F$6/$C$11,IF(A191=$C$11,$F$6,0)))</x:f>
      </x:c>
      <x:c r="E191" s="70" t="str">
        <x:f>IF(A191="","",B191*$C$9/12+C191*$C$10/12)</x:f>
      </x:c>
      <x:c r="F191" s="70" t="str">
        <x:f>IF(A191="","",D191+E191)</x:f>
      </x:c>
      <x:c r="G191" s="70" t="str">
        <x:f>IF(A191="","",MAX(0,B191+C191-D191))</x:f>
      </x:c>
      <x:c r="H191" s="52"/>
      <x:c r="I191" s="52"/>
      <x:c r="J191" s="52"/>
      <x:c r="K191" s="52"/>
    </x:row>
    <x:row r="192">
      <x:c r="A192" s="69" t="str">
        <x:f>IF(170&lt;=$C$11,170,"")</x:f>
      </x:c>
      <x:c r="B192" s="70" t="str">
        <x:f>IF(A192="","",MAX(0,B191-MAX(0,D191-C191)))</x:f>
      </x:c>
      <x:c r="C192" s="70" t="str">
        <x:f>IF(A192="","",MAX(0,C191-D191))</x:f>
      </x:c>
      <x:c r="D192" s="70" t="str">
        <x:f>IF(A192="","",IF($C$17="Capitale costante",$F$6/$C$11,IF(A192=$C$11,$F$6,0)))</x:f>
      </x:c>
      <x:c r="E192" s="70" t="str">
        <x:f>IF(A192="","",B192*$C$9/12+C192*$C$10/12)</x:f>
      </x:c>
      <x:c r="F192" s="70" t="str">
        <x:f>IF(A192="","",D192+E192)</x:f>
      </x:c>
      <x:c r="G192" s="70" t="str">
        <x:f>IF(A192="","",MAX(0,B192+C192-D192))</x:f>
      </x:c>
      <x:c r="H192" s="52"/>
      <x:c r="I192" s="52"/>
      <x:c r="J192" s="52"/>
      <x:c r="K192" s="52"/>
    </x:row>
    <x:row r="193">
      <x:c r="A193" s="69" t="str">
        <x:f>IF(171&lt;=$C$11,171,"")</x:f>
      </x:c>
      <x:c r="B193" s="70" t="str">
        <x:f>IF(A193="","",MAX(0,B192-MAX(0,D192-C192)))</x:f>
      </x:c>
      <x:c r="C193" s="70" t="str">
        <x:f>IF(A193="","",MAX(0,C192-D192))</x:f>
      </x:c>
      <x:c r="D193" s="70" t="str">
        <x:f>IF(A193="","",IF($C$17="Capitale costante",$F$6/$C$11,IF(A193=$C$11,$F$6,0)))</x:f>
      </x:c>
      <x:c r="E193" s="70" t="str">
        <x:f>IF(A193="","",B193*$C$9/12+C193*$C$10/12)</x:f>
      </x:c>
      <x:c r="F193" s="70" t="str">
        <x:f>IF(A193="","",D193+E193)</x:f>
      </x:c>
      <x:c r="G193" s="70" t="str">
        <x:f>IF(A193="","",MAX(0,B193+C193-D193))</x:f>
      </x:c>
      <x:c r="H193" s="52"/>
      <x:c r="I193" s="52"/>
      <x:c r="J193" s="52"/>
      <x:c r="K193" s="52"/>
    </x:row>
    <x:row r="194">
      <x:c r="A194" s="69" t="str">
        <x:f>IF(172&lt;=$C$11,172,"")</x:f>
      </x:c>
      <x:c r="B194" s="70" t="str">
        <x:f>IF(A194="","",MAX(0,B193-MAX(0,D193-C193)))</x:f>
      </x:c>
      <x:c r="C194" s="70" t="str">
        <x:f>IF(A194="","",MAX(0,C193-D193))</x:f>
      </x:c>
      <x:c r="D194" s="70" t="str">
        <x:f>IF(A194="","",IF($C$17="Capitale costante",$F$6/$C$11,IF(A194=$C$11,$F$6,0)))</x:f>
      </x:c>
      <x:c r="E194" s="70" t="str">
        <x:f>IF(A194="","",B194*$C$9/12+C194*$C$10/12)</x:f>
      </x:c>
      <x:c r="F194" s="70" t="str">
        <x:f>IF(A194="","",D194+E194)</x:f>
      </x:c>
      <x:c r="G194" s="70" t="str">
        <x:f>IF(A194="","",MAX(0,B194+C194-D194))</x:f>
      </x:c>
      <x:c r="H194" s="52"/>
      <x:c r="I194" s="52"/>
      <x:c r="J194" s="52"/>
      <x:c r="K194" s="52"/>
    </x:row>
    <x:row r="195">
      <x:c r="A195" s="69" t="str">
        <x:f>IF(173&lt;=$C$11,173,"")</x:f>
      </x:c>
      <x:c r="B195" s="70" t="str">
        <x:f>IF(A195="","",MAX(0,B194-MAX(0,D194-C194)))</x:f>
      </x:c>
      <x:c r="C195" s="70" t="str">
        <x:f>IF(A195="","",MAX(0,C194-D194))</x:f>
      </x:c>
      <x:c r="D195" s="70" t="str">
        <x:f>IF(A195="","",IF($C$17="Capitale costante",$F$6/$C$11,IF(A195=$C$11,$F$6,0)))</x:f>
      </x:c>
      <x:c r="E195" s="70" t="str">
        <x:f>IF(A195="","",B195*$C$9/12+C195*$C$10/12)</x:f>
      </x:c>
      <x:c r="F195" s="70" t="str">
        <x:f>IF(A195="","",D195+E195)</x:f>
      </x:c>
      <x:c r="G195" s="70" t="str">
        <x:f>IF(A195="","",MAX(0,B195+C195-D195))</x:f>
      </x:c>
      <x:c r="H195" s="52"/>
      <x:c r="I195" s="52"/>
      <x:c r="J195" s="52"/>
      <x:c r="K195" s="52"/>
    </x:row>
    <x:row r="196">
      <x:c r="A196" s="69" t="str">
        <x:f>IF(174&lt;=$C$11,174,"")</x:f>
      </x:c>
      <x:c r="B196" s="70" t="str">
        <x:f>IF(A196="","",MAX(0,B195-MAX(0,D195-C195)))</x:f>
      </x:c>
      <x:c r="C196" s="70" t="str">
        <x:f>IF(A196="","",MAX(0,C195-D195))</x:f>
      </x:c>
      <x:c r="D196" s="70" t="str">
        <x:f>IF(A196="","",IF($C$17="Capitale costante",$F$6/$C$11,IF(A196=$C$11,$F$6,0)))</x:f>
      </x:c>
      <x:c r="E196" s="70" t="str">
        <x:f>IF(A196="","",B196*$C$9/12+C196*$C$10/12)</x:f>
      </x:c>
      <x:c r="F196" s="70" t="str">
        <x:f>IF(A196="","",D196+E196)</x:f>
      </x:c>
      <x:c r="G196" s="70" t="str">
        <x:f>IF(A196="","",MAX(0,B196+C196-D196))</x:f>
      </x:c>
      <x:c r="H196" s="52"/>
      <x:c r="I196" s="52"/>
      <x:c r="J196" s="52"/>
      <x:c r="K196" s="52"/>
    </x:row>
    <x:row r="197">
      <x:c r="A197" s="69" t="str">
        <x:f>IF(175&lt;=$C$11,175,"")</x:f>
      </x:c>
      <x:c r="B197" s="70" t="str">
        <x:f>IF(A197="","",MAX(0,B196-MAX(0,D196-C196)))</x:f>
      </x:c>
      <x:c r="C197" s="70" t="str">
        <x:f>IF(A197="","",MAX(0,C196-D196))</x:f>
      </x:c>
      <x:c r="D197" s="70" t="str">
        <x:f>IF(A197="","",IF($C$17="Capitale costante",$F$6/$C$11,IF(A197=$C$11,$F$6,0)))</x:f>
      </x:c>
      <x:c r="E197" s="70" t="str">
        <x:f>IF(A197="","",B197*$C$9/12+C197*$C$10/12)</x:f>
      </x:c>
      <x:c r="F197" s="70" t="str">
        <x:f>IF(A197="","",D197+E197)</x:f>
      </x:c>
      <x:c r="G197" s="70" t="str">
        <x:f>IF(A197="","",MAX(0,B197+C197-D197))</x:f>
      </x:c>
      <x:c r="H197" s="52"/>
      <x:c r="I197" s="52"/>
      <x:c r="J197" s="52"/>
      <x:c r="K197" s="52"/>
    </x:row>
    <x:row r="198">
      <x:c r="A198" s="69" t="str">
        <x:f>IF(176&lt;=$C$11,176,"")</x:f>
      </x:c>
      <x:c r="B198" s="70" t="str">
        <x:f>IF(A198="","",MAX(0,B197-MAX(0,D197-C197)))</x:f>
      </x:c>
      <x:c r="C198" s="70" t="str">
        <x:f>IF(A198="","",MAX(0,C197-D197))</x:f>
      </x:c>
      <x:c r="D198" s="70" t="str">
        <x:f>IF(A198="","",IF($C$17="Capitale costante",$F$6/$C$11,IF(A198=$C$11,$F$6,0)))</x:f>
      </x:c>
      <x:c r="E198" s="70" t="str">
        <x:f>IF(A198="","",B198*$C$9/12+C198*$C$10/12)</x:f>
      </x:c>
      <x:c r="F198" s="70" t="str">
        <x:f>IF(A198="","",D198+E198)</x:f>
      </x:c>
      <x:c r="G198" s="70" t="str">
        <x:f>IF(A198="","",MAX(0,B198+C198-D198))</x:f>
      </x:c>
      <x:c r="H198" s="52"/>
      <x:c r="I198" s="52"/>
      <x:c r="J198" s="52"/>
      <x:c r="K198" s="52"/>
    </x:row>
    <x:row r="199">
      <x:c r="A199" s="69" t="str">
        <x:f>IF(177&lt;=$C$11,177,"")</x:f>
      </x:c>
      <x:c r="B199" s="70" t="str">
        <x:f>IF(A199="","",MAX(0,B198-MAX(0,D198-C198)))</x:f>
      </x:c>
      <x:c r="C199" s="70" t="str">
        <x:f>IF(A199="","",MAX(0,C198-D198))</x:f>
      </x:c>
      <x:c r="D199" s="70" t="str">
        <x:f>IF(A199="","",IF($C$17="Capitale costante",$F$6/$C$11,IF(A199=$C$11,$F$6,0)))</x:f>
      </x:c>
      <x:c r="E199" s="70" t="str">
        <x:f>IF(A199="","",B199*$C$9/12+C199*$C$10/12)</x:f>
      </x:c>
      <x:c r="F199" s="70" t="str">
        <x:f>IF(A199="","",D199+E199)</x:f>
      </x:c>
      <x:c r="G199" s="70" t="str">
        <x:f>IF(A199="","",MAX(0,B199+C199-D199))</x:f>
      </x:c>
      <x:c r="H199" s="52"/>
      <x:c r="I199" s="52"/>
      <x:c r="J199" s="52"/>
      <x:c r="K199" s="52"/>
    </x:row>
    <x:row r="200">
      <x:c r="A200" s="69" t="str">
        <x:f>IF(178&lt;=$C$11,178,"")</x:f>
      </x:c>
      <x:c r="B200" s="70" t="str">
        <x:f>IF(A200="","",MAX(0,B199-MAX(0,D199-C199)))</x:f>
      </x:c>
      <x:c r="C200" s="70" t="str">
        <x:f>IF(A200="","",MAX(0,C199-D199))</x:f>
      </x:c>
      <x:c r="D200" s="70" t="str">
        <x:f>IF(A200="","",IF($C$17="Capitale costante",$F$6/$C$11,IF(A200=$C$11,$F$6,0)))</x:f>
      </x:c>
      <x:c r="E200" s="70" t="str">
        <x:f>IF(A200="","",B200*$C$9/12+C200*$C$10/12)</x:f>
      </x:c>
      <x:c r="F200" s="70" t="str">
        <x:f>IF(A200="","",D200+E200)</x:f>
      </x:c>
      <x:c r="G200" s="70" t="str">
        <x:f>IF(A200="","",MAX(0,B200+C200-D200))</x:f>
      </x:c>
      <x:c r="H200" s="52"/>
      <x:c r="I200" s="52"/>
      <x:c r="J200" s="52"/>
      <x:c r="K200" s="52"/>
    </x:row>
    <x:row r="201">
      <x:c r="A201" s="69" t="str">
        <x:f>IF(179&lt;=$C$11,179,"")</x:f>
      </x:c>
      <x:c r="B201" s="70" t="str">
        <x:f>IF(A201="","",MAX(0,B200-MAX(0,D200-C200)))</x:f>
      </x:c>
      <x:c r="C201" s="70" t="str">
        <x:f>IF(A201="","",MAX(0,C200-D200))</x:f>
      </x:c>
      <x:c r="D201" s="70" t="str">
        <x:f>IF(A201="","",IF($C$17="Capitale costante",$F$6/$C$11,IF(A201=$C$11,$F$6,0)))</x:f>
      </x:c>
      <x:c r="E201" s="70" t="str">
        <x:f>IF(A201="","",B201*$C$9/12+C201*$C$10/12)</x:f>
      </x:c>
      <x:c r="F201" s="70" t="str">
        <x:f>IF(A201="","",D201+E201)</x:f>
      </x:c>
      <x:c r="G201" s="70" t="str">
        <x:f>IF(A201="","",MAX(0,B201+C201-D201))</x:f>
      </x:c>
      <x:c r="H201" s="52"/>
      <x:c r="I201" s="52"/>
      <x:c r="J201" s="52"/>
      <x:c r="K201" s="52"/>
    </x:row>
    <x:row r="202">
      <x:c r="A202" s="69" t="str">
        <x:f>IF(180&lt;=$C$11,180,"")</x:f>
      </x:c>
      <x:c r="B202" s="70" t="str">
        <x:f>IF(A202="","",MAX(0,B201-MAX(0,D201-C201)))</x:f>
      </x:c>
      <x:c r="C202" s="70" t="str">
        <x:f>IF(A202="","",MAX(0,C201-D201))</x:f>
      </x:c>
      <x:c r="D202" s="70" t="str">
        <x:f>IF(A202="","",IF($C$17="Capitale costante",$F$6/$C$11,IF(A202=$C$11,$F$6,0)))</x:f>
      </x:c>
      <x:c r="E202" s="70" t="str">
        <x:f>IF(A202="","",B202*$C$9/12+C202*$C$10/12)</x:f>
      </x:c>
      <x:c r="F202" s="70" t="str">
        <x:f>IF(A202="","",D202+E202)</x:f>
      </x:c>
      <x:c r="G202" s="70" t="str">
        <x:f>IF(A202="","",MAX(0,B202+C202-D202))</x:f>
      </x:c>
      <x:c r="H202" s="52"/>
      <x:c r="I202" s="52"/>
      <x:c r="J202" s="52"/>
      <x:c r="K202" s="52"/>
    </x:row>
    <x:row r="203">
      <x:c r="A203" s="69" t="str">
        <x:f>IF(181&lt;=$C$11,181,"")</x:f>
      </x:c>
      <x:c r="B203" s="70" t="str">
        <x:f>IF(A203="","",MAX(0,B202-MAX(0,D202-C202)))</x:f>
      </x:c>
      <x:c r="C203" s="70" t="str">
        <x:f>IF(A203="","",MAX(0,C202-D202))</x:f>
      </x:c>
      <x:c r="D203" s="70" t="str">
        <x:f>IF(A203="","",IF($C$17="Capitale costante",$F$6/$C$11,IF(A203=$C$11,$F$6,0)))</x:f>
      </x:c>
      <x:c r="E203" s="70" t="str">
        <x:f>IF(A203="","",B203*$C$9/12+C203*$C$10/12)</x:f>
      </x:c>
      <x:c r="F203" s="70" t="str">
        <x:f>IF(A203="","",D203+E203)</x:f>
      </x:c>
      <x:c r="G203" s="70" t="str">
        <x:f>IF(A203="","",MAX(0,B203+C203-D203))</x:f>
      </x:c>
      <x:c r="H203" s="52"/>
      <x:c r="I203" s="52"/>
      <x:c r="J203" s="52"/>
      <x:c r="K203" s="52"/>
    </x:row>
    <x:row r="204">
      <x:c r="A204" s="69" t="str">
        <x:f>IF(182&lt;=$C$11,182,"")</x:f>
      </x:c>
      <x:c r="B204" s="70" t="str">
        <x:f>IF(A204="","",MAX(0,B203-MAX(0,D203-C203)))</x:f>
      </x:c>
      <x:c r="C204" s="70" t="str">
        <x:f>IF(A204="","",MAX(0,C203-D203))</x:f>
      </x:c>
      <x:c r="D204" s="70" t="str">
        <x:f>IF(A204="","",IF($C$17="Capitale costante",$F$6/$C$11,IF(A204=$C$11,$F$6,0)))</x:f>
      </x:c>
      <x:c r="E204" s="70" t="str">
        <x:f>IF(A204="","",B204*$C$9/12+C204*$C$10/12)</x:f>
      </x:c>
      <x:c r="F204" s="70" t="str">
        <x:f>IF(A204="","",D204+E204)</x:f>
      </x:c>
      <x:c r="G204" s="70" t="str">
        <x:f>IF(A204="","",MAX(0,B204+C204-D204))</x:f>
      </x:c>
      <x:c r="H204" s="52"/>
      <x:c r="I204" s="52"/>
      <x:c r="J204" s="52"/>
      <x:c r="K204" s="52"/>
    </x:row>
    <x:row r="205">
      <x:c r="A205" s="69" t="str">
        <x:f>IF(183&lt;=$C$11,183,"")</x:f>
      </x:c>
      <x:c r="B205" s="70" t="str">
        <x:f>IF(A205="","",MAX(0,B204-MAX(0,D204-C204)))</x:f>
      </x:c>
      <x:c r="C205" s="70" t="str">
        <x:f>IF(A205="","",MAX(0,C204-D204))</x:f>
      </x:c>
      <x:c r="D205" s="70" t="str">
        <x:f>IF(A205="","",IF($C$17="Capitale costante",$F$6/$C$11,IF(A205=$C$11,$F$6,0)))</x:f>
      </x:c>
      <x:c r="E205" s="70" t="str">
        <x:f>IF(A205="","",B205*$C$9/12+C205*$C$10/12)</x:f>
      </x:c>
      <x:c r="F205" s="70" t="str">
        <x:f>IF(A205="","",D205+E205)</x:f>
      </x:c>
      <x:c r="G205" s="70" t="str">
        <x:f>IF(A205="","",MAX(0,B205+C205-D205))</x:f>
      </x:c>
      <x:c r="H205" s="52"/>
      <x:c r="I205" s="52"/>
      <x:c r="J205" s="52"/>
      <x:c r="K205" s="52"/>
    </x:row>
    <x:row r="206">
      <x:c r="A206" s="69" t="str">
        <x:f>IF(184&lt;=$C$11,184,"")</x:f>
      </x:c>
      <x:c r="B206" s="70" t="str">
        <x:f>IF(A206="","",MAX(0,B205-MAX(0,D205-C205)))</x:f>
      </x:c>
      <x:c r="C206" s="70" t="str">
        <x:f>IF(A206="","",MAX(0,C205-D205))</x:f>
      </x:c>
      <x:c r="D206" s="70" t="str">
        <x:f>IF(A206="","",IF($C$17="Capitale costante",$F$6/$C$11,IF(A206=$C$11,$F$6,0)))</x:f>
      </x:c>
      <x:c r="E206" s="70" t="str">
        <x:f>IF(A206="","",B206*$C$9/12+C206*$C$10/12)</x:f>
      </x:c>
      <x:c r="F206" s="70" t="str">
        <x:f>IF(A206="","",D206+E206)</x:f>
      </x:c>
      <x:c r="G206" s="70" t="str">
        <x:f>IF(A206="","",MAX(0,B206+C206-D206))</x:f>
      </x:c>
      <x:c r="H206" s="52"/>
      <x:c r="I206" s="52"/>
      <x:c r="J206" s="52"/>
      <x:c r="K206" s="52"/>
    </x:row>
    <x:row r="207">
      <x:c r="A207" s="69" t="str">
        <x:f>IF(185&lt;=$C$11,185,"")</x:f>
      </x:c>
      <x:c r="B207" s="70" t="str">
        <x:f>IF(A207="","",MAX(0,B206-MAX(0,D206-C206)))</x:f>
      </x:c>
      <x:c r="C207" s="70" t="str">
        <x:f>IF(A207="","",MAX(0,C206-D206))</x:f>
      </x:c>
      <x:c r="D207" s="70" t="str">
        <x:f>IF(A207="","",IF($C$17="Capitale costante",$F$6/$C$11,IF(A207=$C$11,$F$6,0)))</x:f>
      </x:c>
      <x:c r="E207" s="70" t="str">
        <x:f>IF(A207="","",B207*$C$9/12+C207*$C$10/12)</x:f>
      </x:c>
      <x:c r="F207" s="70" t="str">
        <x:f>IF(A207="","",D207+E207)</x:f>
      </x:c>
      <x:c r="G207" s="70" t="str">
        <x:f>IF(A207="","",MAX(0,B207+C207-D207))</x:f>
      </x:c>
      <x:c r="H207" s="52"/>
      <x:c r="I207" s="52"/>
      <x:c r="J207" s="52"/>
      <x:c r="K207" s="52"/>
    </x:row>
    <x:row r="208">
      <x:c r="A208" s="69" t="str">
        <x:f>IF(186&lt;=$C$11,186,"")</x:f>
      </x:c>
      <x:c r="B208" s="70" t="str">
        <x:f>IF(A208="","",MAX(0,B207-MAX(0,D207-C207)))</x:f>
      </x:c>
      <x:c r="C208" s="70" t="str">
        <x:f>IF(A208="","",MAX(0,C207-D207))</x:f>
      </x:c>
      <x:c r="D208" s="70" t="str">
        <x:f>IF(A208="","",IF($C$17="Capitale costante",$F$6/$C$11,IF(A208=$C$11,$F$6,0)))</x:f>
      </x:c>
      <x:c r="E208" s="70" t="str">
        <x:f>IF(A208="","",B208*$C$9/12+C208*$C$10/12)</x:f>
      </x:c>
      <x:c r="F208" s="70" t="str">
        <x:f>IF(A208="","",D208+E208)</x:f>
      </x:c>
      <x:c r="G208" s="70" t="str">
        <x:f>IF(A208="","",MAX(0,B208+C208-D208))</x:f>
      </x:c>
      <x:c r="H208" s="52"/>
      <x:c r="I208" s="52"/>
      <x:c r="J208" s="52"/>
      <x:c r="K208" s="52"/>
    </x:row>
    <x:row r="209">
      <x:c r="A209" s="69" t="str">
        <x:f>IF(187&lt;=$C$11,187,"")</x:f>
      </x:c>
      <x:c r="B209" s="70" t="str">
        <x:f>IF(A209="","",MAX(0,B208-MAX(0,D208-C208)))</x:f>
      </x:c>
      <x:c r="C209" s="70" t="str">
        <x:f>IF(A209="","",MAX(0,C208-D208))</x:f>
      </x:c>
      <x:c r="D209" s="70" t="str">
        <x:f>IF(A209="","",IF($C$17="Capitale costante",$F$6/$C$11,IF(A209=$C$11,$F$6,0)))</x:f>
      </x:c>
      <x:c r="E209" s="70" t="str">
        <x:f>IF(A209="","",B209*$C$9/12+C209*$C$10/12)</x:f>
      </x:c>
      <x:c r="F209" s="70" t="str">
        <x:f>IF(A209="","",D209+E209)</x:f>
      </x:c>
      <x:c r="G209" s="70" t="str">
        <x:f>IF(A209="","",MAX(0,B209+C209-D209))</x:f>
      </x:c>
      <x:c r="H209" s="52"/>
      <x:c r="I209" s="52"/>
      <x:c r="J209" s="52"/>
      <x:c r="K209" s="52"/>
    </x:row>
    <x:row r="210">
      <x:c r="A210" s="69" t="str">
        <x:f>IF(188&lt;=$C$11,188,"")</x:f>
      </x:c>
      <x:c r="B210" s="70" t="str">
        <x:f>IF(A210="","",MAX(0,B209-MAX(0,D209-C209)))</x:f>
      </x:c>
      <x:c r="C210" s="70" t="str">
        <x:f>IF(A210="","",MAX(0,C209-D209))</x:f>
      </x:c>
      <x:c r="D210" s="70" t="str">
        <x:f>IF(A210="","",IF($C$17="Capitale costante",$F$6/$C$11,IF(A210=$C$11,$F$6,0)))</x:f>
      </x:c>
      <x:c r="E210" s="70" t="str">
        <x:f>IF(A210="","",B210*$C$9/12+C210*$C$10/12)</x:f>
      </x:c>
      <x:c r="F210" s="70" t="str">
        <x:f>IF(A210="","",D210+E210)</x:f>
      </x:c>
      <x:c r="G210" s="70" t="str">
        <x:f>IF(A210="","",MAX(0,B210+C210-D210))</x:f>
      </x:c>
      <x:c r="H210" s="52"/>
      <x:c r="I210" s="52"/>
      <x:c r="J210" s="52"/>
      <x:c r="K210" s="52"/>
    </x:row>
    <x:row r="211">
      <x:c r="A211" s="69" t="str">
        <x:f>IF(189&lt;=$C$11,189,"")</x:f>
      </x:c>
      <x:c r="B211" s="70" t="str">
        <x:f>IF(A211="","",MAX(0,B210-MAX(0,D210-C210)))</x:f>
      </x:c>
      <x:c r="C211" s="70" t="str">
        <x:f>IF(A211="","",MAX(0,C210-D210))</x:f>
      </x:c>
      <x:c r="D211" s="70" t="str">
        <x:f>IF(A211="","",IF($C$17="Capitale costante",$F$6/$C$11,IF(A211=$C$11,$F$6,0)))</x:f>
      </x:c>
      <x:c r="E211" s="70" t="str">
        <x:f>IF(A211="","",B211*$C$9/12+C211*$C$10/12)</x:f>
      </x:c>
      <x:c r="F211" s="70" t="str">
        <x:f>IF(A211="","",D211+E211)</x:f>
      </x:c>
      <x:c r="G211" s="70" t="str">
        <x:f>IF(A211="","",MAX(0,B211+C211-D211))</x:f>
      </x:c>
      <x:c r="H211" s="52"/>
      <x:c r="I211" s="52"/>
      <x:c r="J211" s="52"/>
      <x:c r="K211" s="52"/>
    </x:row>
    <x:row r="212">
      <x:c r="A212" s="69" t="str">
        <x:f>IF(190&lt;=$C$11,190,"")</x:f>
      </x:c>
      <x:c r="B212" s="70" t="str">
        <x:f>IF(A212="","",MAX(0,B211-MAX(0,D211-C211)))</x:f>
      </x:c>
      <x:c r="C212" s="70" t="str">
        <x:f>IF(A212="","",MAX(0,C211-D211))</x:f>
      </x:c>
      <x:c r="D212" s="70" t="str">
        <x:f>IF(A212="","",IF($C$17="Capitale costante",$F$6/$C$11,IF(A212=$C$11,$F$6,0)))</x:f>
      </x:c>
      <x:c r="E212" s="70" t="str">
        <x:f>IF(A212="","",B212*$C$9/12+C212*$C$10/12)</x:f>
      </x:c>
      <x:c r="F212" s="70" t="str">
        <x:f>IF(A212="","",D212+E212)</x:f>
      </x:c>
      <x:c r="G212" s="70" t="str">
        <x:f>IF(A212="","",MAX(0,B212+C212-D212))</x:f>
      </x:c>
      <x:c r="H212" s="52"/>
      <x:c r="I212" s="52"/>
      <x:c r="J212" s="52"/>
      <x:c r="K212" s="52"/>
    </x:row>
    <x:row r="213">
      <x:c r="A213" s="69" t="str">
        <x:f>IF(191&lt;=$C$11,191,"")</x:f>
      </x:c>
      <x:c r="B213" s="70" t="str">
        <x:f>IF(A213="","",MAX(0,B212-MAX(0,D212-C212)))</x:f>
      </x:c>
      <x:c r="C213" s="70" t="str">
        <x:f>IF(A213="","",MAX(0,C212-D212))</x:f>
      </x:c>
      <x:c r="D213" s="70" t="str">
        <x:f>IF(A213="","",IF($C$17="Capitale costante",$F$6/$C$11,IF(A213=$C$11,$F$6,0)))</x:f>
      </x:c>
      <x:c r="E213" s="70" t="str">
        <x:f>IF(A213="","",B213*$C$9/12+C213*$C$10/12)</x:f>
      </x:c>
      <x:c r="F213" s="70" t="str">
        <x:f>IF(A213="","",D213+E213)</x:f>
      </x:c>
      <x:c r="G213" s="70" t="str">
        <x:f>IF(A213="","",MAX(0,B213+C213-D213))</x:f>
      </x:c>
      <x:c r="H213" s="52"/>
      <x:c r="I213" s="52"/>
      <x:c r="J213" s="52"/>
      <x:c r="K213" s="52"/>
    </x:row>
    <x:row r="214">
      <x:c r="A214" s="69" t="str">
        <x:f>IF(192&lt;=$C$11,192,"")</x:f>
      </x:c>
      <x:c r="B214" s="70" t="str">
        <x:f>IF(A214="","",MAX(0,B213-MAX(0,D213-C213)))</x:f>
      </x:c>
      <x:c r="C214" s="70" t="str">
        <x:f>IF(A214="","",MAX(0,C213-D213))</x:f>
      </x:c>
      <x:c r="D214" s="70" t="str">
        <x:f>IF(A214="","",IF($C$17="Capitale costante",$F$6/$C$11,IF(A214=$C$11,$F$6,0)))</x:f>
      </x:c>
      <x:c r="E214" s="70" t="str">
        <x:f>IF(A214="","",B214*$C$9/12+C214*$C$10/12)</x:f>
      </x:c>
      <x:c r="F214" s="70" t="str">
        <x:f>IF(A214="","",D214+E214)</x:f>
      </x:c>
      <x:c r="G214" s="70" t="str">
        <x:f>IF(A214="","",MAX(0,B214+C214-D214))</x:f>
      </x:c>
      <x:c r="H214" s="52"/>
      <x:c r="I214" s="52"/>
      <x:c r="J214" s="52"/>
      <x:c r="K214" s="52"/>
    </x:row>
    <x:row r="215">
      <x:c r="A215" s="69" t="str">
        <x:f>IF(193&lt;=$C$11,193,"")</x:f>
      </x:c>
      <x:c r="B215" s="70" t="str">
        <x:f>IF(A215="","",MAX(0,B214-MAX(0,D214-C214)))</x:f>
      </x:c>
      <x:c r="C215" s="70" t="str">
        <x:f>IF(A215="","",MAX(0,C214-D214))</x:f>
      </x:c>
      <x:c r="D215" s="70" t="str">
        <x:f>IF(A215="","",IF($C$17="Capitale costante",$F$6/$C$11,IF(A215=$C$11,$F$6,0)))</x:f>
      </x:c>
      <x:c r="E215" s="70" t="str">
        <x:f>IF(A215="","",B215*$C$9/12+C215*$C$10/12)</x:f>
      </x:c>
      <x:c r="F215" s="70" t="str">
        <x:f>IF(A215="","",D215+E215)</x:f>
      </x:c>
      <x:c r="G215" s="70" t="str">
        <x:f>IF(A215="","",MAX(0,B215+C215-D215))</x:f>
      </x:c>
      <x:c r="H215" s="52"/>
      <x:c r="I215" s="52"/>
      <x:c r="J215" s="52"/>
      <x:c r="K215" s="52"/>
    </x:row>
    <x:row r="216">
      <x:c r="A216" s="69" t="str">
        <x:f>IF(194&lt;=$C$11,194,"")</x:f>
      </x:c>
      <x:c r="B216" s="70" t="str">
        <x:f>IF(A216="","",MAX(0,B215-MAX(0,D215-C215)))</x:f>
      </x:c>
      <x:c r="C216" s="70" t="str">
        <x:f>IF(A216="","",MAX(0,C215-D215))</x:f>
      </x:c>
      <x:c r="D216" s="70" t="str">
        <x:f>IF(A216="","",IF($C$17="Capitale costante",$F$6/$C$11,IF(A216=$C$11,$F$6,0)))</x:f>
      </x:c>
      <x:c r="E216" s="70" t="str">
        <x:f>IF(A216="","",B216*$C$9/12+C216*$C$10/12)</x:f>
      </x:c>
      <x:c r="F216" s="70" t="str">
        <x:f>IF(A216="","",D216+E216)</x:f>
      </x:c>
      <x:c r="G216" s="70" t="str">
        <x:f>IF(A216="","",MAX(0,B216+C216-D216))</x:f>
      </x:c>
      <x:c r="H216" s="52"/>
      <x:c r="I216" s="52"/>
      <x:c r="J216" s="52"/>
      <x:c r="K216" s="52"/>
    </x:row>
    <x:row r="217">
      <x:c r="A217" s="69" t="str">
        <x:f>IF(195&lt;=$C$11,195,"")</x:f>
      </x:c>
      <x:c r="B217" s="70" t="str">
        <x:f>IF(A217="","",MAX(0,B216-MAX(0,D216-C216)))</x:f>
      </x:c>
      <x:c r="C217" s="70" t="str">
        <x:f>IF(A217="","",MAX(0,C216-D216))</x:f>
      </x:c>
      <x:c r="D217" s="70" t="str">
        <x:f>IF(A217="","",IF($C$17="Capitale costante",$F$6/$C$11,IF(A217=$C$11,$F$6,0)))</x:f>
      </x:c>
      <x:c r="E217" s="70" t="str">
        <x:f>IF(A217="","",B217*$C$9/12+C217*$C$10/12)</x:f>
      </x:c>
      <x:c r="F217" s="70" t="str">
        <x:f>IF(A217="","",D217+E217)</x:f>
      </x:c>
      <x:c r="G217" s="70" t="str">
        <x:f>IF(A217="","",MAX(0,B217+C217-D217))</x:f>
      </x:c>
      <x:c r="H217" s="52"/>
      <x:c r="I217" s="52"/>
      <x:c r="J217" s="52"/>
      <x:c r="K217" s="52"/>
    </x:row>
    <x:row r="218">
      <x:c r="A218" s="69" t="str">
        <x:f>IF(196&lt;=$C$11,196,"")</x:f>
      </x:c>
      <x:c r="B218" s="70" t="str">
        <x:f>IF(A218="","",MAX(0,B217-MAX(0,D217-C217)))</x:f>
      </x:c>
      <x:c r="C218" s="70" t="str">
        <x:f>IF(A218="","",MAX(0,C217-D217))</x:f>
      </x:c>
      <x:c r="D218" s="70" t="str">
        <x:f>IF(A218="","",IF($C$17="Capitale costante",$F$6/$C$11,IF(A218=$C$11,$F$6,0)))</x:f>
      </x:c>
      <x:c r="E218" s="70" t="str">
        <x:f>IF(A218="","",B218*$C$9/12+C218*$C$10/12)</x:f>
      </x:c>
      <x:c r="F218" s="70" t="str">
        <x:f>IF(A218="","",D218+E218)</x:f>
      </x:c>
      <x:c r="G218" s="70" t="str">
        <x:f>IF(A218="","",MAX(0,B218+C218-D218))</x:f>
      </x:c>
      <x:c r="H218" s="52"/>
      <x:c r="I218" s="52"/>
      <x:c r="J218" s="52"/>
      <x:c r="K218" s="52"/>
    </x:row>
    <x:row r="219">
      <x:c r="A219" s="69" t="str">
        <x:f>IF(197&lt;=$C$11,197,"")</x:f>
      </x:c>
      <x:c r="B219" s="70" t="str">
        <x:f>IF(A219="","",MAX(0,B218-MAX(0,D218-C218)))</x:f>
      </x:c>
      <x:c r="C219" s="70" t="str">
        <x:f>IF(A219="","",MAX(0,C218-D218))</x:f>
      </x:c>
      <x:c r="D219" s="70" t="str">
        <x:f>IF(A219="","",IF($C$17="Capitale costante",$F$6/$C$11,IF(A219=$C$11,$F$6,0)))</x:f>
      </x:c>
      <x:c r="E219" s="70" t="str">
        <x:f>IF(A219="","",B219*$C$9/12+C219*$C$10/12)</x:f>
      </x:c>
      <x:c r="F219" s="70" t="str">
        <x:f>IF(A219="","",D219+E219)</x:f>
      </x:c>
      <x:c r="G219" s="70" t="str">
        <x:f>IF(A219="","",MAX(0,B219+C219-D219))</x:f>
      </x:c>
      <x:c r="H219" s="52"/>
      <x:c r="I219" s="52"/>
      <x:c r="J219" s="52"/>
      <x:c r="K219" s="52"/>
    </x:row>
    <x:row r="220">
      <x:c r="A220" s="69" t="str">
        <x:f>IF(198&lt;=$C$11,198,"")</x:f>
      </x:c>
      <x:c r="B220" s="70" t="str">
        <x:f>IF(A220="","",MAX(0,B219-MAX(0,D219-C219)))</x:f>
      </x:c>
      <x:c r="C220" s="70" t="str">
        <x:f>IF(A220="","",MAX(0,C219-D219))</x:f>
      </x:c>
      <x:c r="D220" s="70" t="str">
        <x:f>IF(A220="","",IF($C$17="Capitale costante",$F$6/$C$11,IF(A220=$C$11,$F$6,0)))</x:f>
      </x:c>
      <x:c r="E220" s="70" t="str">
        <x:f>IF(A220="","",B220*$C$9/12+C220*$C$10/12)</x:f>
      </x:c>
      <x:c r="F220" s="70" t="str">
        <x:f>IF(A220="","",D220+E220)</x:f>
      </x:c>
      <x:c r="G220" s="70" t="str">
        <x:f>IF(A220="","",MAX(0,B220+C220-D220))</x:f>
      </x:c>
      <x:c r="H220" s="52"/>
      <x:c r="I220" s="52"/>
      <x:c r="J220" s="52"/>
      <x:c r="K220" s="52"/>
    </x:row>
    <x:row r="221">
      <x:c r="A221" s="69" t="str">
        <x:f>IF(199&lt;=$C$11,199,"")</x:f>
      </x:c>
      <x:c r="B221" s="70" t="str">
        <x:f>IF(A221="","",MAX(0,B220-MAX(0,D220-C220)))</x:f>
      </x:c>
      <x:c r="C221" s="70" t="str">
        <x:f>IF(A221="","",MAX(0,C220-D220))</x:f>
      </x:c>
      <x:c r="D221" s="70" t="str">
        <x:f>IF(A221="","",IF($C$17="Capitale costante",$F$6/$C$11,IF(A221=$C$11,$F$6,0)))</x:f>
      </x:c>
      <x:c r="E221" s="70" t="str">
        <x:f>IF(A221="","",B221*$C$9/12+C221*$C$10/12)</x:f>
      </x:c>
      <x:c r="F221" s="70" t="str">
        <x:f>IF(A221="","",D221+E221)</x:f>
      </x:c>
      <x:c r="G221" s="70" t="str">
        <x:f>IF(A221="","",MAX(0,B221+C221-D221))</x:f>
      </x:c>
      <x:c r="H221" s="52"/>
      <x:c r="I221" s="52"/>
      <x:c r="J221" s="52"/>
      <x:c r="K221" s="52"/>
    </x:row>
    <x:row r="222">
      <x:c r="A222" s="69" t="str">
        <x:f>IF(200&lt;=$C$11,200,"")</x:f>
      </x:c>
      <x:c r="B222" s="70" t="str">
        <x:f>IF(A222="","",MAX(0,B221-MAX(0,D221-C221)))</x:f>
      </x:c>
      <x:c r="C222" s="70" t="str">
        <x:f>IF(A222="","",MAX(0,C221-D221))</x:f>
      </x:c>
      <x:c r="D222" s="70" t="str">
        <x:f>IF(A222="","",IF($C$17="Capitale costante",$F$6/$C$11,IF(A222=$C$11,$F$6,0)))</x:f>
      </x:c>
      <x:c r="E222" s="70" t="str">
        <x:f>IF(A222="","",B222*$C$9/12+C222*$C$10/12)</x:f>
      </x:c>
      <x:c r="F222" s="70" t="str">
        <x:f>IF(A222="","",D222+E222)</x:f>
      </x:c>
      <x:c r="G222" s="70" t="str">
        <x:f>IF(A222="","",MAX(0,B222+C222-D222))</x:f>
      </x:c>
      <x:c r="H222" s="52"/>
      <x:c r="I222" s="52"/>
      <x:c r="J222" s="52"/>
      <x:c r="K222" s="52"/>
    </x:row>
    <x:row r="223">
      <x:c r="A223" s="69" t="str">
        <x:f>IF(201&lt;=$C$11,201,"")</x:f>
      </x:c>
      <x:c r="B223" s="70" t="str">
        <x:f>IF(A223="","",MAX(0,B222-MAX(0,D222-C222)))</x:f>
      </x:c>
      <x:c r="C223" s="70" t="str">
        <x:f>IF(A223="","",MAX(0,C222-D222))</x:f>
      </x:c>
      <x:c r="D223" s="70" t="str">
        <x:f>IF(A223="","",IF($C$17="Capitale costante",$F$6/$C$11,IF(A223=$C$11,$F$6,0)))</x:f>
      </x:c>
      <x:c r="E223" s="70" t="str">
        <x:f>IF(A223="","",B223*$C$9/12+C223*$C$10/12)</x:f>
      </x:c>
      <x:c r="F223" s="70" t="str">
        <x:f>IF(A223="","",D223+E223)</x:f>
      </x:c>
      <x:c r="G223" s="70" t="str">
        <x:f>IF(A223="","",MAX(0,B223+C223-D223))</x:f>
      </x:c>
      <x:c r="H223" s="52"/>
      <x:c r="I223" s="52"/>
      <x:c r="J223" s="52"/>
      <x:c r="K223" s="52"/>
    </x:row>
    <x:row r="224">
      <x:c r="A224" s="69" t="str">
        <x:f>IF(202&lt;=$C$11,202,"")</x:f>
      </x:c>
      <x:c r="B224" s="70" t="str">
        <x:f>IF(A224="","",MAX(0,B223-MAX(0,D223-C223)))</x:f>
      </x:c>
      <x:c r="C224" s="70" t="str">
        <x:f>IF(A224="","",MAX(0,C223-D223))</x:f>
      </x:c>
      <x:c r="D224" s="70" t="str">
        <x:f>IF(A224="","",IF($C$17="Capitale costante",$F$6/$C$11,IF(A224=$C$11,$F$6,0)))</x:f>
      </x:c>
      <x:c r="E224" s="70" t="str">
        <x:f>IF(A224="","",B224*$C$9/12+C224*$C$10/12)</x:f>
      </x:c>
      <x:c r="F224" s="70" t="str">
        <x:f>IF(A224="","",D224+E224)</x:f>
      </x:c>
      <x:c r="G224" s="70" t="str">
        <x:f>IF(A224="","",MAX(0,B224+C224-D224))</x:f>
      </x:c>
      <x:c r="H224" s="52"/>
      <x:c r="I224" s="52"/>
      <x:c r="J224" s="52"/>
      <x:c r="K224" s="52"/>
    </x:row>
    <x:row r="225">
      <x:c r="A225" s="69" t="str">
        <x:f>IF(203&lt;=$C$11,203,"")</x:f>
      </x:c>
      <x:c r="B225" s="70" t="str">
        <x:f>IF(A225="","",MAX(0,B224-MAX(0,D224-C224)))</x:f>
      </x:c>
      <x:c r="C225" s="70" t="str">
        <x:f>IF(A225="","",MAX(0,C224-D224))</x:f>
      </x:c>
      <x:c r="D225" s="70" t="str">
        <x:f>IF(A225="","",IF($C$17="Capitale costante",$F$6/$C$11,IF(A225=$C$11,$F$6,0)))</x:f>
      </x:c>
      <x:c r="E225" s="70" t="str">
        <x:f>IF(A225="","",B225*$C$9/12+C225*$C$10/12)</x:f>
      </x:c>
      <x:c r="F225" s="70" t="str">
        <x:f>IF(A225="","",D225+E225)</x:f>
      </x:c>
      <x:c r="G225" s="70" t="str">
        <x:f>IF(A225="","",MAX(0,B225+C225-D225))</x:f>
      </x:c>
      <x:c r="H225" s="52"/>
      <x:c r="I225" s="52"/>
      <x:c r="J225" s="52"/>
      <x:c r="K225" s="52"/>
    </x:row>
    <x:row r="226">
      <x:c r="A226" s="69" t="str">
        <x:f>IF(204&lt;=$C$11,204,"")</x:f>
      </x:c>
      <x:c r="B226" s="70" t="str">
        <x:f>IF(A226="","",MAX(0,B225-MAX(0,D225-C225)))</x:f>
      </x:c>
      <x:c r="C226" s="70" t="str">
        <x:f>IF(A226="","",MAX(0,C225-D225))</x:f>
      </x:c>
      <x:c r="D226" s="70" t="str">
        <x:f>IF(A226="","",IF($C$17="Capitale costante",$F$6/$C$11,IF(A226=$C$11,$F$6,0)))</x:f>
      </x:c>
      <x:c r="E226" s="70" t="str">
        <x:f>IF(A226="","",B226*$C$9/12+C226*$C$10/12)</x:f>
      </x:c>
      <x:c r="F226" s="70" t="str">
        <x:f>IF(A226="","",D226+E226)</x:f>
      </x:c>
      <x:c r="G226" s="70" t="str">
        <x:f>IF(A226="","",MAX(0,B226+C226-D226))</x:f>
      </x:c>
      <x:c r="H226" s="52"/>
      <x:c r="I226" s="52"/>
      <x:c r="J226" s="52"/>
      <x:c r="K226" s="52"/>
    </x:row>
    <x:row r="227">
      <x:c r="A227" s="69" t="str">
        <x:f>IF(205&lt;=$C$11,205,"")</x:f>
      </x:c>
      <x:c r="B227" s="70" t="str">
        <x:f>IF(A227="","",MAX(0,B226-MAX(0,D226-C226)))</x:f>
      </x:c>
      <x:c r="C227" s="70" t="str">
        <x:f>IF(A227="","",MAX(0,C226-D226))</x:f>
      </x:c>
      <x:c r="D227" s="70" t="str">
        <x:f>IF(A227="","",IF($C$17="Capitale costante",$F$6/$C$11,IF(A227=$C$11,$F$6,0)))</x:f>
      </x:c>
      <x:c r="E227" s="70" t="str">
        <x:f>IF(A227="","",B227*$C$9/12+C227*$C$10/12)</x:f>
      </x:c>
      <x:c r="F227" s="70" t="str">
        <x:f>IF(A227="","",D227+E227)</x:f>
      </x:c>
      <x:c r="G227" s="70" t="str">
        <x:f>IF(A227="","",MAX(0,B227+C227-D227))</x:f>
      </x:c>
      <x:c r="H227" s="52"/>
      <x:c r="I227" s="52"/>
      <x:c r="J227" s="52"/>
      <x:c r="K227" s="52"/>
    </x:row>
    <x:row r="228">
      <x:c r="A228" s="69" t="str">
        <x:f>IF(206&lt;=$C$11,206,"")</x:f>
      </x:c>
      <x:c r="B228" s="70" t="str">
        <x:f>IF(A228="","",MAX(0,B227-MAX(0,D227-C227)))</x:f>
      </x:c>
      <x:c r="C228" s="70" t="str">
        <x:f>IF(A228="","",MAX(0,C227-D227))</x:f>
      </x:c>
      <x:c r="D228" s="70" t="str">
        <x:f>IF(A228="","",IF($C$17="Capitale costante",$F$6/$C$11,IF(A228=$C$11,$F$6,0)))</x:f>
      </x:c>
      <x:c r="E228" s="70" t="str">
        <x:f>IF(A228="","",B228*$C$9/12+C228*$C$10/12)</x:f>
      </x:c>
      <x:c r="F228" s="70" t="str">
        <x:f>IF(A228="","",D228+E228)</x:f>
      </x:c>
      <x:c r="G228" s="70" t="str">
        <x:f>IF(A228="","",MAX(0,B228+C228-D228))</x:f>
      </x:c>
      <x:c r="H228" s="52"/>
      <x:c r="I228" s="52"/>
      <x:c r="J228" s="52"/>
      <x:c r="K228" s="52"/>
    </x:row>
    <x:row r="229">
      <x:c r="A229" s="69" t="str">
        <x:f>IF(207&lt;=$C$11,207,"")</x:f>
      </x:c>
      <x:c r="B229" s="70" t="str">
        <x:f>IF(A229="","",MAX(0,B228-MAX(0,D228-C228)))</x:f>
      </x:c>
      <x:c r="C229" s="70" t="str">
        <x:f>IF(A229="","",MAX(0,C228-D228))</x:f>
      </x:c>
      <x:c r="D229" s="70" t="str">
        <x:f>IF(A229="","",IF($C$17="Capitale costante",$F$6/$C$11,IF(A229=$C$11,$F$6,0)))</x:f>
      </x:c>
      <x:c r="E229" s="70" t="str">
        <x:f>IF(A229="","",B229*$C$9/12+C229*$C$10/12)</x:f>
      </x:c>
      <x:c r="F229" s="70" t="str">
        <x:f>IF(A229="","",D229+E229)</x:f>
      </x:c>
      <x:c r="G229" s="70" t="str">
        <x:f>IF(A229="","",MAX(0,B229+C229-D229))</x:f>
      </x:c>
      <x:c r="H229" s="52"/>
      <x:c r="I229" s="52"/>
      <x:c r="J229" s="52"/>
      <x:c r="K229" s="52"/>
    </x:row>
    <x:row r="230">
      <x:c r="A230" s="69" t="str">
        <x:f>IF(208&lt;=$C$11,208,"")</x:f>
      </x:c>
      <x:c r="B230" s="70" t="str">
        <x:f>IF(A230="","",MAX(0,B229-MAX(0,D229-C229)))</x:f>
      </x:c>
      <x:c r="C230" s="70" t="str">
        <x:f>IF(A230="","",MAX(0,C229-D229))</x:f>
      </x:c>
      <x:c r="D230" s="70" t="str">
        <x:f>IF(A230="","",IF($C$17="Capitale costante",$F$6/$C$11,IF(A230=$C$11,$F$6,0)))</x:f>
      </x:c>
      <x:c r="E230" s="70" t="str">
        <x:f>IF(A230="","",B230*$C$9/12+C230*$C$10/12)</x:f>
      </x:c>
      <x:c r="F230" s="70" t="str">
        <x:f>IF(A230="","",D230+E230)</x:f>
      </x:c>
      <x:c r="G230" s="70" t="str">
        <x:f>IF(A230="","",MAX(0,B230+C230-D230))</x:f>
      </x:c>
      <x:c r="H230" s="52"/>
      <x:c r="I230" s="52"/>
      <x:c r="J230" s="52"/>
      <x:c r="K230" s="52"/>
    </x:row>
    <x:row r="231">
      <x:c r="A231" s="69" t="str">
        <x:f>IF(209&lt;=$C$11,209,"")</x:f>
      </x:c>
      <x:c r="B231" s="70" t="str">
        <x:f>IF(A231="","",MAX(0,B230-MAX(0,D230-C230)))</x:f>
      </x:c>
      <x:c r="C231" s="70" t="str">
        <x:f>IF(A231="","",MAX(0,C230-D230))</x:f>
      </x:c>
      <x:c r="D231" s="70" t="str">
        <x:f>IF(A231="","",IF($C$17="Capitale costante",$F$6/$C$11,IF(A231=$C$11,$F$6,0)))</x:f>
      </x:c>
      <x:c r="E231" s="70" t="str">
        <x:f>IF(A231="","",B231*$C$9/12+C231*$C$10/12)</x:f>
      </x:c>
      <x:c r="F231" s="70" t="str">
        <x:f>IF(A231="","",D231+E231)</x:f>
      </x:c>
      <x:c r="G231" s="70" t="str">
        <x:f>IF(A231="","",MAX(0,B231+C231-D231))</x:f>
      </x:c>
      <x:c r="H231" s="52"/>
      <x:c r="I231" s="52"/>
      <x:c r="J231" s="52"/>
      <x:c r="K231" s="52"/>
    </x:row>
    <x:row r="232">
      <x:c r="A232" s="69" t="str">
        <x:f>IF(210&lt;=$C$11,210,"")</x:f>
      </x:c>
      <x:c r="B232" s="70" t="str">
        <x:f>IF(A232="","",MAX(0,B231-MAX(0,D231-C231)))</x:f>
      </x:c>
      <x:c r="C232" s="70" t="str">
        <x:f>IF(A232="","",MAX(0,C231-D231))</x:f>
      </x:c>
      <x:c r="D232" s="70" t="str">
        <x:f>IF(A232="","",IF($C$17="Capitale costante",$F$6/$C$11,IF(A232=$C$11,$F$6,0)))</x:f>
      </x:c>
      <x:c r="E232" s="70" t="str">
        <x:f>IF(A232="","",B232*$C$9/12+C232*$C$10/12)</x:f>
      </x:c>
      <x:c r="F232" s="70" t="str">
        <x:f>IF(A232="","",D232+E232)</x:f>
      </x:c>
      <x:c r="G232" s="70" t="str">
        <x:f>IF(A232="","",MAX(0,B232+C232-D232))</x:f>
      </x:c>
      <x:c r="H232" s="52"/>
      <x:c r="I232" s="52"/>
      <x:c r="J232" s="52"/>
      <x:c r="K232" s="52"/>
    </x:row>
    <x:row r="233">
      <x:c r="A233" s="69" t="str">
        <x:f>IF(211&lt;=$C$11,211,"")</x:f>
      </x:c>
      <x:c r="B233" s="70" t="str">
        <x:f>IF(A233="","",MAX(0,B232-MAX(0,D232-C232)))</x:f>
      </x:c>
      <x:c r="C233" s="70" t="str">
        <x:f>IF(A233="","",MAX(0,C232-D232))</x:f>
      </x:c>
      <x:c r="D233" s="70" t="str">
        <x:f>IF(A233="","",IF($C$17="Capitale costante",$F$6/$C$11,IF(A233=$C$11,$F$6,0)))</x:f>
      </x:c>
      <x:c r="E233" s="70" t="str">
        <x:f>IF(A233="","",B233*$C$9/12+C233*$C$10/12)</x:f>
      </x:c>
      <x:c r="F233" s="70" t="str">
        <x:f>IF(A233="","",D233+E233)</x:f>
      </x:c>
      <x:c r="G233" s="70" t="str">
        <x:f>IF(A233="","",MAX(0,B233+C233-D233))</x:f>
      </x:c>
      <x:c r="H233" s="52"/>
      <x:c r="I233" s="52"/>
      <x:c r="J233" s="52"/>
      <x:c r="K233" s="52"/>
    </x:row>
    <x:row r="234">
      <x:c r="A234" s="69" t="str">
        <x:f>IF(212&lt;=$C$11,212,"")</x:f>
      </x:c>
      <x:c r="B234" s="70" t="str">
        <x:f>IF(A234="","",MAX(0,B233-MAX(0,D233-C233)))</x:f>
      </x:c>
      <x:c r="C234" s="70" t="str">
        <x:f>IF(A234="","",MAX(0,C233-D233))</x:f>
      </x:c>
      <x:c r="D234" s="70" t="str">
        <x:f>IF(A234="","",IF($C$17="Capitale costante",$F$6/$C$11,IF(A234=$C$11,$F$6,0)))</x:f>
      </x:c>
      <x:c r="E234" s="70" t="str">
        <x:f>IF(A234="","",B234*$C$9/12+C234*$C$10/12)</x:f>
      </x:c>
      <x:c r="F234" s="70" t="str">
        <x:f>IF(A234="","",D234+E234)</x:f>
      </x:c>
      <x:c r="G234" s="70" t="str">
        <x:f>IF(A234="","",MAX(0,B234+C234-D234))</x:f>
      </x:c>
      <x:c r="H234" s="52"/>
      <x:c r="I234" s="52"/>
      <x:c r="J234" s="52"/>
      <x:c r="K234" s="52"/>
    </x:row>
    <x:row r="235">
      <x:c r="A235" s="69" t="str">
        <x:f>IF(213&lt;=$C$11,213,"")</x:f>
      </x:c>
      <x:c r="B235" s="70" t="str">
        <x:f>IF(A235="","",MAX(0,B234-MAX(0,D234-C234)))</x:f>
      </x:c>
      <x:c r="C235" s="70" t="str">
        <x:f>IF(A235="","",MAX(0,C234-D234))</x:f>
      </x:c>
      <x:c r="D235" s="70" t="str">
        <x:f>IF(A235="","",IF($C$17="Capitale costante",$F$6/$C$11,IF(A235=$C$11,$F$6,0)))</x:f>
      </x:c>
      <x:c r="E235" s="70" t="str">
        <x:f>IF(A235="","",B235*$C$9/12+C235*$C$10/12)</x:f>
      </x:c>
      <x:c r="F235" s="70" t="str">
        <x:f>IF(A235="","",D235+E235)</x:f>
      </x:c>
      <x:c r="G235" s="70" t="str">
        <x:f>IF(A235="","",MAX(0,B235+C235-D235))</x:f>
      </x:c>
      <x:c r="H235" s="52"/>
      <x:c r="I235" s="52"/>
      <x:c r="J235" s="52"/>
      <x:c r="K235" s="52"/>
    </x:row>
    <x:row r="236">
      <x:c r="A236" s="69" t="str">
        <x:f>IF(214&lt;=$C$11,214,"")</x:f>
      </x:c>
      <x:c r="B236" s="70" t="str">
        <x:f>IF(A236="","",MAX(0,B235-MAX(0,D235-C235)))</x:f>
      </x:c>
      <x:c r="C236" s="70" t="str">
        <x:f>IF(A236="","",MAX(0,C235-D235))</x:f>
      </x:c>
      <x:c r="D236" s="70" t="str">
        <x:f>IF(A236="","",IF($C$17="Capitale costante",$F$6/$C$11,IF(A236=$C$11,$F$6,0)))</x:f>
      </x:c>
      <x:c r="E236" s="70" t="str">
        <x:f>IF(A236="","",B236*$C$9/12+C236*$C$10/12)</x:f>
      </x:c>
      <x:c r="F236" s="70" t="str">
        <x:f>IF(A236="","",D236+E236)</x:f>
      </x:c>
      <x:c r="G236" s="70" t="str">
        <x:f>IF(A236="","",MAX(0,B236+C236-D236))</x:f>
      </x:c>
      <x:c r="H236" s="52"/>
      <x:c r="I236" s="52"/>
      <x:c r="J236" s="52"/>
      <x:c r="K236" s="52"/>
    </x:row>
    <x:row r="237">
      <x:c r="A237" s="69" t="str">
        <x:f>IF(215&lt;=$C$11,215,"")</x:f>
      </x:c>
      <x:c r="B237" s="70" t="str">
        <x:f>IF(A237="","",MAX(0,B236-MAX(0,D236-C236)))</x:f>
      </x:c>
      <x:c r="C237" s="70" t="str">
        <x:f>IF(A237="","",MAX(0,C236-D236))</x:f>
      </x:c>
      <x:c r="D237" s="70" t="str">
        <x:f>IF(A237="","",IF($C$17="Capitale costante",$F$6/$C$11,IF(A237=$C$11,$F$6,0)))</x:f>
      </x:c>
      <x:c r="E237" s="70" t="str">
        <x:f>IF(A237="","",B237*$C$9/12+C237*$C$10/12)</x:f>
      </x:c>
      <x:c r="F237" s="70" t="str">
        <x:f>IF(A237="","",D237+E237)</x:f>
      </x:c>
      <x:c r="G237" s="70" t="str">
        <x:f>IF(A237="","",MAX(0,B237+C237-D237))</x:f>
      </x:c>
      <x:c r="H237" s="52"/>
      <x:c r="I237" s="52"/>
      <x:c r="J237" s="52"/>
      <x:c r="K237" s="52"/>
    </x:row>
    <x:row r="238">
      <x:c r="A238" s="69" t="str">
        <x:f>IF(216&lt;=$C$11,216,"")</x:f>
      </x:c>
      <x:c r="B238" s="70" t="str">
        <x:f>IF(A238="","",MAX(0,B237-MAX(0,D237-C237)))</x:f>
      </x:c>
      <x:c r="C238" s="70" t="str">
        <x:f>IF(A238="","",MAX(0,C237-D237))</x:f>
      </x:c>
      <x:c r="D238" s="70" t="str">
        <x:f>IF(A238="","",IF($C$17="Capitale costante",$F$6/$C$11,IF(A238=$C$11,$F$6,0)))</x:f>
      </x:c>
      <x:c r="E238" s="70" t="str">
        <x:f>IF(A238="","",B238*$C$9/12+C238*$C$10/12)</x:f>
      </x:c>
      <x:c r="F238" s="70" t="str">
        <x:f>IF(A238="","",D238+E238)</x:f>
      </x:c>
      <x:c r="G238" s="70" t="str">
        <x:f>IF(A238="","",MAX(0,B238+C238-D238))</x:f>
      </x:c>
      <x:c r="H238" s="52"/>
      <x:c r="I238" s="52"/>
      <x:c r="J238" s="52"/>
      <x:c r="K238" s="52"/>
    </x:row>
    <x:row r="239">
      <x:c r="A239" s="69" t="str">
        <x:f>IF(217&lt;=$C$11,217,"")</x:f>
      </x:c>
      <x:c r="B239" s="70" t="str">
        <x:f>IF(A239="","",MAX(0,B238-MAX(0,D238-C238)))</x:f>
      </x:c>
      <x:c r="C239" s="70" t="str">
        <x:f>IF(A239="","",MAX(0,C238-D238))</x:f>
      </x:c>
      <x:c r="D239" s="70" t="str">
        <x:f>IF(A239="","",IF($C$17="Capitale costante",$F$6/$C$11,IF(A239=$C$11,$F$6,0)))</x:f>
      </x:c>
      <x:c r="E239" s="70" t="str">
        <x:f>IF(A239="","",B239*$C$9/12+C239*$C$10/12)</x:f>
      </x:c>
      <x:c r="F239" s="70" t="str">
        <x:f>IF(A239="","",D239+E239)</x:f>
      </x:c>
      <x:c r="G239" s="70" t="str">
        <x:f>IF(A239="","",MAX(0,B239+C239-D239))</x:f>
      </x:c>
      <x:c r="H239" s="52"/>
      <x:c r="I239" s="52"/>
      <x:c r="J239" s="52"/>
      <x:c r="K239" s="52"/>
    </x:row>
    <x:row r="240">
      <x:c r="A240" s="69" t="str">
        <x:f>IF(218&lt;=$C$11,218,"")</x:f>
      </x:c>
      <x:c r="B240" s="70" t="str">
        <x:f>IF(A240="","",MAX(0,B239-MAX(0,D239-C239)))</x:f>
      </x:c>
      <x:c r="C240" s="70" t="str">
        <x:f>IF(A240="","",MAX(0,C239-D239))</x:f>
      </x:c>
      <x:c r="D240" s="70" t="str">
        <x:f>IF(A240="","",IF($C$17="Capitale costante",$F$6/$C$11,IF(A240=$C$11,$F$6,0)))</x:f>
      </x:c>
      <x:c r="E240" s="70" t="str">
        <x:f>IF(A240="","",B240*$C$9/12+C240*$C$10/12)</x:f>
      </x:c>
      <x:c r="F240" s="70" t="str">
        <x:f>IF(A240="","",D240+E240)</x:f>
      </x:c>
      <x:c r="G240" s="70" t="str">
        <x:f>IF(A240="","",MAX(0,B240+C240-D240))</x:f>
      </x:c>
      <x:c r="H240" s="52"/>
      <x:c r="I240" s="52"/>
      <x:c r="J240" s="52"/>
      <x:c r="K240" s="52"/>
    </x:row>
    <x:row r="241">
      <x:c r="A241" s="69" t="str">
        <x:f>IF(219&lt;=$C$11,219,"")</x:f>
      </x:c>
      <x:c r="B241" s="70" t="str">
        <x:f>IF(A241="","",MAX(0,B240-MAX(0,D240-C240)))</x:f>
      </x:c>
      <x:c r="C241" s="70" t="str">
        <x:f>IF(A241="","",MAX(0,C240-D240))</x:f>
      </x:c>
      <x:c r="D241" s="70" t="str">
        <x:f>IF(A241="","",IF($C$17="Capitale costante",$F$6/$C$11,IF(A241=$C$11,$F$6,0)))</x:f>
      </x:c>
      <x:c r="E241" s="70" t="str">
        <x:f>IF(A241="","",B241*$C$9/12+C241*$C$10/12)</x:f>
      </x:c>
      <x:c r="F241" s="70" t="str">
        <x:f>IF(A241="","",D241+E241)</x:f>
      </x:c>
      <x:c r="G241" s="70" t="str">
        <x:f>IF(A241="","",MAX(0,B241+C241-D241))</x:f>
      </x:c>
      <x:c r="H241" s="52"/>
      <x:c r="I241" s="52"/>
      <x:c r="J241" s="52"/>
      <x:c r="K241" s="52"/>
    </x:row>
    <x:row r="242">
      <x:c r="A242" s="69" t="str">
        <x:f>IF(220&lt;=$C$11,220,"")</x:f>
      </x:c>
      <x:c r="B242" s="70" t="str">
        <x:f>IF(A242="","",MAX(0,B241-MAX(0,D241-C241)))</x:f>
      </x:c>
      <x:c r="C242" s="70" t="str">
        <x:f>IF(A242="","",MAX(0,C241-D241))</x:f>
      </x:c>
      <x:c r="D242" s="70" t="str">
        <x:f>IF(A242="","",IF($C$17="Capitale costante",$F$6/$C$11,IF(A242=$C$11,$F$6,0)))</x:f>
      </x:c>
      <x:c r="E242" s="70" t="str">
        <x:f>IF(A242="","",B242*$C$9/12+C242*$C$10/12)</x:f>
      </x:c>
      <x:c r="F242" s="70" t="str">
        <x:f>IF(A242="","",D242+E242)</x:f>
      </x:c>
      <x:c r="G242" s="70" t="str">
        <x:f>IF(A242="","",MAX(0,B242+C242-D242))</x:f>
      </x:c>
      <x:c r="H242" s="52"/>
      <x:c r="I242" s="52"/>
      <x:c r="J242" s="52"/>
      <x:c r="K242" s="52"/>
    </x:row>
    <x:row r="243">
      <x:c r="A243" s="69" t="str">
        <x:f>IF(221&lt;=$C$11,221,"")</x:f>
      </x:c>
      <x:c r="B243" s="70" t="str">
        <x:f>IF(A243="","",MAX(0,B242-MAX(0,D242-C242)))</x:f>
      </x:c>
      <x:c r="C243" s="70" t="str">
        <x:f>IF(A243="","",MAX(0,C242-D242))</x:f>
      </x:c>
      <x:c r="D243" s="70" t="str">
        <x:f>IF(A243="","",IF($C$17="Capitale costante",$F$6/$C$11,IF(A243=$C$11,$F$6,0)))</x:f>
      </x:c>
      <x:c r="E243" s="70" t="str">
        <x:f>IF(A243="","",B243*$C$9/12+C243*$C$10/12)</x:f>
      </x:c>
      <x:c r="F243" s="70" t="str">
        <x:f>IF(A243="","",D243+E243)</x:f>
      </x:c>
      <x:c r="G243" s="70" t="str">
        <x:f>IF(A243="","",MAX(0,B243+C243-D243))</x:f>
      </x:c>
      <x:c r="H243" s="52"/>
      <x:c r="I243" s="52"/>
      <x:c r="J243" s="52"/>
      <x:c r="K243" s="52"/>
    </x:row>
    <x:row r="244">
      <x:c r="A244" s="69" t="str">
        <x:f>IF(222&lt;=$C$11,222,"")</x:f>
      </x:c>
      <x:c r="B244" s="70" t="str">
        <x:f>IF(A244="","",MAX(0,B243-MAX(0,D243-C243)))</x:f>
      </x:c>
      <x:c r="C244" s="70" t="str">
        <x:f>IF(A244="","",MAX(0,C243-D243))</x:f>
      </x:c>
      <x:c r="D244" s="70" t="str">
        <x:f>IF(A244="","",IF($C$17="Capitale costante",$F$6/$C$11,IF(A244=$C$11,$F$6,0)))</x:f>
      </x:c>
      <x:c r="E244" s="70" t="str">
        <x:f>IF(A244="","",B244*$C$9/12+C244*$C$10/12)</x:f>
      </x:c>
      <x:c r="F244" s="70" t="str">
        <x:f>IF(A244="","",D244+E244)</x:f>
      </x:c>
      <x:c r="G244" s="70" t="str">
        <x:f>IF(A244="","",MAX(0,B244+C244-D244))</x:f>
      </x:c>
      <x:c r="H244" s="52"/>
      <x:c r="I244" s="52"/>
      <x:c r="J244" s="52"/>
      <x:c r="K244" s="52"/>
    </x:row>
    <x:row r="245">
      <x:c r="A245" s="69" t="str">
        <x:f>IF(223&lt;=$C$11,223,"")</x:f>
      </x:c>
      <x:c r="B245" s="70" t="str">
        <x:f>IF(A245="","",MAX(0,B244-MAX(0,D244-C244)))</x:f>
      </x:c>
      <x:c r="C245" s="70" t="str">
        <x:f>IF(A245="","",MAX(0,C244-D244))</x:f>
      </x:c>
      <x:c r="D245" s="70" t="str">
        <x:f>IF(A245="","",IF($C$17="Capitale costante",$F$6/$C$11,IF(A245=$C$11,$F$6,0)))</x:f>
      </x:c>
      <x:c r="E245" s="70" t="str">
        <x:f>IF(A245="","",B245*$C$9/12+C245*$C$10/12)</x:f>
      </x:c>
      <x:c r="F245" s="70" t="str">
        <x:f>IF(A245="","",D245+E245)</x:f>
      </x:c>
      <x:c r="G245" s="70" t="str">
        <x:f>IF(A245="","",MAX(0,B245+C245-D245))</x:f>
      </x:c>
      <x:c r="H245" s="52"/>
      <x:c r="I245" s="52"/>
      <x:c r="J245" s="52"/>
      <x:c r="K245" s="52"/>
    </x:row>
    <x:row r="246">
      <x:c r="A246" s="69" t="str">
        <x:f>IF(224&lt;=$C$11,224,"")</x:f>
      </x:c>
      <x:c r="B246" s="70" t="str">
        <x:f>IF(A246="","",MAX(0,B245-MAX(0,D245-C245)))</x:f>
      </x:c>
      <x:c r="C246" s="70" t="str">
        <x:f>IF(A246="","",MAX(0,C245-D245))</x:f>
      </x:c>
      <x:c r="D246" s="70" t="str">
        <x:f>IF(A246="","",IF($C$17="Capitale costante",$F$6/$C$11,IF(A246=$C$11,$F$6,0)))</x:f>
      </x:c>
      <x:c r="E246" s="70" t="str">
        <x:f>IF(A246="","",B246*$C$9/12+C246*$C$10/12)</x:f>
      </x:c>
      <x:c r="F246" s="70" t="str">
        <x:f>IF(A246="","",D246+E246)</x:f>
      </x:c>
      <x:c r="G246" s="70" t="str">
        <x:f>IF(A246="","",MAX(0,B246+C246-D246))</x:f>
      </x:c>
      <x:c r="H246" s="52"/>
      <x:c r="I246" s="52"/>
      <x:c r="J246" s="52"/>
      <x:c r="K246" s="52"/>
    </x:row>
    <x:row r="247">
      <x:c r="A247" s="69" t="str">
        <x:f>IF(225&lt;=$C$11,225,"")</x:f>
      </x:c>
      <x:c r="B247" s="70" t="str">
        <x:f>IF(A247="","",MAX(0,B246-MAX(0,D246-C246)))</x:f>
      </x:c>
      <x:c r="C247" s="70" t="str">
        <x:f>IF(A247="","",MAX(0,C246-D246))</x:f>
      </x:c>
      <x:c r="D247" s="70" t="str">
        <x:f>IF(A247="","",IF($C$17="Capitale costante",$F$6/$C$11,IF(A247=$C$11,$F$6,0)))</x:f>
      </x:c>
      <x:c r="E247" s="70" t="str">
        <x:f>IF(A247="","",B247*$C$9/12+C247*$C$10/12)</x:f>
      </x:c>
      <x:c r="F247" s="70" t="str">
        <x:f>IF(A247="","",D247+E247)</x:f>
      </x:c>
      <x:c r="G247" s="70" t="str">
        <x:f>IF(A247="","",MAX(0,B247+C247-D247))</x:f>
      </x:c>
      <x:c r="H247" s="52"/>
      <x:c r="I247" s="52"/>
      <x:c r="J247" s="52"/>
      <x:c r="K247" s="52"/>
    </x:row>
    <x:row r="248">
      <x:c r="A248" s="69" t="str">
        <x:f>IF(226&lt;=$C$11,226,"")</x:f>
      </x:c>
      <x:c r="B248" s="70" t="str">
        <x:f>IF(A248="","",MAX(0,B247-MAX(0,D247-C247)))</x:f>
      </x:c>
      <x:c r="C248" s="70" t="str">
        <x:f>IF(A248="","",MAX(0,C247-D247))</x:f>
      </x:c>
      <x:c r="D248" s="70" t="str">
        <x:f>IF(A248="","",IF($C$17="Capitale costante",$F$6/$C$11,IF(A248=$C$11,$F$6,0)))</x:f>
      </x:c>
      <x:c r="E248" s="70" t="str">
        <x:f>IF(A248="","",B248*$C$9/12+C248*$C$10/12)</x:f>
      </x:c>
      <x:c r="F248" s="70" t="str">
        <x:f>IF(A248="","",D248+E248)</x:f>
      </x:c>
      <x:c r="G248" s="70" t="str">
        <x:f>IF(A248="","",MAX(0,B248+C248-D248))</x:f>
      </x:c>
      <x:c r="H248" s="52"/>
      <x:c r="I248" s="52"/>
      <x:c r="J248" s="52"/>
      <x:c r="K248" s="52"/>
    </x:row>
    <x:row r="249">
      <x:c r="A249" s="69" t="str">
        <x:f>IF(227&lt;=$C$11,227,"")</x:f>
      </x:c>
      <x:c r="B249" s="70" t="str">
        <x:f>IF(A249="","",MAX(0,B248-MAX(0,D248-C248)))</x:f>
      </x:c>
      <x:c r="C249" s="70" t="str">
        <x:f>IF(A249="","",MAX(0,C248-D248))</x:f>
      </x:c>
      <x:c r="D249" s="70" t="str">
        <x:f>IF(A249="","",IF($C$17="Capitale costante",$F$6/$C$11,IF(A249=$C$11,$F$6,0)))</x:f>
      </x:c>
      <x:c r="E249" s="70" t="str">
        <x:f>IF(A249="","",B249*$C$9/12+C249*$C$10/12)</x:f>
      </x:c>
      <x:c r="F249" s="70" t="str">
        <x:f>IF(A249="","",D249+E249)</x:f>
      </x:c>
      <x:c r="G249" s="70" t="str">
        <x:f>IF(A249="","",MAX(0,B249+C249-D249))</x:f>
      </x:c>
      <x:c r="H249" s="52"/>
      <x:c r="I249" s="52"/>
      <x:c r="J249" s="52"/>
      <x:c r="K249" s="52"/>
    </x:row>
    <x:row r="250">
      <x:c r="A250" s="69" t="str">
        <x:f>IF(228&lt;=$C$11,228,"")</x:f>
      </x:c>
      <x:c r="B250" s="70" t="str">
        <x:f>IF(A250="","",MAX(0,B249-MAX(0,D249-C249)))</x:f>
      </x:c>
      <x:c r="C250" s="70" t="str">
        <x:f>IF(A250="","",MAX(0,C249-D249))</x:f>
      </x:c>
      <x:c r="D250" s="70" t="str">
        <x:f>IF(A250="","",IF($C$17="Capitale costante",$F$6/$C$11,IF(A250=$C$11,$F$6,0)))</x:f>
      </x:c>
      <x:c r="E250" s="70" t="str">
        <x:f>IF(A250="","",B250*$C$9/12+C250*$C$10/12)</x:f>
      </x:c>
      <x:c r="F250" s="70" t="str">
        <x:f>IF(A250="","",D250+E250)</x:f>
      </x:c>
      <x:c r="G250" s="70" t="str">
        <x:f>IF(A250="","",MAX(0,B250+C250-D250))</x:f>
      </x:c>
      <x:c r="H250" s="52"/>
      <x:c r="I250" s="52"/>
      <x:c r="J250" s="52"/>
      <x:c r="K250" s="52"/>
    </x:row>
    <x:row r="251">
      <x:c r="A251" s="69" t="str">
        <x:f>IF(229&lt;=$C$11,229,"")</x:f>
      </x:c>
      <x:c r="B251" s="70" t="str">
        <x:f>IF(A251="","",MAX(0,B250-MAX(0,D250-C250)))</x:f>
      </x:c>
      <x:c r="C251" s="70" t="str">
        <x:f>IF(A251="","",MAX(0,C250-D250))</x:f>
      </x:c>
      <x:c r="D251" s="70" t="str">
        <x:f>IF(A251="","",IF($C$17="Capitale costante",$F$6/$C$11,IF(A251=$C$11,$F$6,0)))</x:f>
      </x:c>
      <x:c r="E251" s="70" t="str">
        <x:f>IF(A251="","",B251*$C$9/12+C251*$C$10/12)</x:f>
      </x:c>
      <x:c r="F251" s="70" t="str">
        <x:f>IF(A251="","",D251+E251)</x:f>
      </x:c>
      <x:c r="G251" s="70" t="str">
        <x:f>IF(A251="","",MAX(0,B251+C251-D251))</x:f>
      </x:c>
      <x:c r="H251" s="52"/>
      <x:c r="I251" s="52"/>
      <x:c r="J251" s="52"/>
      <x:c r="K251" s="52"/>
    </x:row>
    <x:row r="252">
      <x:c r="A252" s="69" t="str">
        <x:f>IF(230&lt;=$C$11,230,"")</x:f>
      </x:c>
      <x:c r="B252" s="70" t="str">
        <x:f>IF(A252="","",MAX(0,B251-MAX(0,D251-C251)))</x:f>
      </x:c>
      <x:c r="C252" s="70" t="str">
        <x:f>IF(A252="","",MAX(0,C251-D251))</x:f>
      </x:c>
      <x:c r="D252" s="70" t="str">
        <x:f>IF(A252="","",IF($C$17="Capitale costante",$F$6/$C$11,IF(A252=$C$11,$F$6,0)))</x:f>
      </x:c>
      <x:c r="E252" s="70" t="str">
        <x:f>IF(A252="","",B252*$C$9/12+C252*$C$10/12)</x:f>
      </x:c>
      <x:c r="F252" s="70" t="str">
        <x:f>IF(A252="","",D252+E252)</x:f>
      </x:c>
      <x:c r="G252" s="70" t="str">
        <x:f>IF(A252="","",MAX(0,B252+C252-D252))</x:f>
      </x:c>
      <x:c r="H252" s="52"/>
      <x:c r="I252" s="52"/>
      <x:c r="J252" s="52"/>
      <x:c r="K252" s="52"/>
    </x:row>
    <x:row r="253">
      <x:c r="A253" s="69" t="str">
        <x:f>IF(231&lt;=$C$11,231,"")</x:f>
      </x:c>
      <x:c r="B253" s="70" t="str">
        <x:f>IF(A253="","",MAX(0,B252-MAX(0,D252-C252)))</x:f>
      </x:c>
      <x:c r="C253" s="70" t="str">
        <x:f>IF(A253="","",MAX(0,C252-D252))</x:f>
      </x:c>
      <x:c r="D253" s="70" t="str">
        <x:f>IF(A253="","",IF($C$17="Capitale costante",$F$6/$C$11,IF(A253=$C$11,$F$6,0)))</x:f>
      </x:c>
      <x:c r="E253" s="70" t="str">
        <x:f>IF(A253="","",B253*$C$9/12+C253*$C$10/12)</x:f>
      </x:c>
      <x:c r="F253" s="70" t="str">
        <x:f>IF(A253="","",D253+E253)</x:f>
      </x:c>
      <x:c r="G253" s="70" t="str">
        <x:f>IF(A253="","",MAX(0,B253+C253-D253))</x:f>
      </x:c>
      <x:c r="H253" s="52"/>
      <x:c r="I253" s="52"/>
      <x:c r="J253" s="52"/>
      <x:c r="K253" s="52"/>
    </x:row>
    <x:row r="254">
      <x:c r="A254" s="69" t="str">
        <x:f>IF(232&lt;=$C$11,232,"")</x:f>
      </x:c>
      <x:c r="B254" s="70" t="str">
        <x:f>IF(A254="","",MAX(0,B253-MAX(0,D253-C253)))</x:f>
      </x:c>
      <x:c r="C254" s="70" t="str">
        <x:f>IF(A254="","",MAX(0,C253-D253))</x:f>
      </x:c>
      <x:c r="D254" s="70" t="str">
        <x:f>IF(A254="","",IF($C$17="Capitale costante",$F$6/$C$11,IF(A254=$C$11,$F$6,0)))</x:f>
      </x:c>
      <x:c r="E254" s="70" t="str">
        <x:f>IF(A254="","",B254*$C$9/12+C254*$C$10/12)</x:f>
      </x:c>
      <x:c r="F254" s="70" t="str">
        <x:f>IF(A254="","",D254+E254)</x:f>
      </x:c>
      <x:c r="G254" s="70" t="str">
        <x:f>IF(A254="","",MAX(0,B254+C254-D254))</x:f>
      </x:c>
      <x:c r="H254" s="52"/>
      <x:c r="I254" s="52"/>
      <x:c r="J254" s="52"/>
      <x:c r="K254" s="52"/>
    </x:row>
    <x:row r="255">
      <x:c r="A255" s="69" t="str">
        <x:f>IF(233&lt;=$C$11,233,"")</x:f>
      </x:c>
      <x:c r="B255" s="70" t="str">
        <x:f>IF(A255="","",MAX(0,B254-MAX(0,D254-C254)))</x:f>
      </x:c>
      <x:c r="C255" s="70" t="str">
        <x:f>IF(A255="","",MAX(0,C254-D254))</x:f>
      </x:c>
      <x:c r="D255" s="70" t="str">
        <x:f>IF(A255="","",IF($C$17="Capitale costante",$F$6/$C$11,IF(A255=$C$11,$F$6,0)))</x:f>
      </x:c>
      <x:c r="E255" s="70" t="str">
        <x:f>IF(A255="","",B255*$C$9/12+C255*$C$10/12)</x:f>
      </x:c>
      <x:c r="F255" s="70" t="str">
        <x:f>IF(A255="","",D255+E255)</x:f>
      </x:c>
      <x:c r="G255" s="70" t="str">
        <x:f>IF(A255="","",MAX(0,B255+C255-D255))</x:f>
      </x:c>
      <x:c r="H255" s="52"/>
      <x:c r="I255" s="52"/>
      <x:c r="J255" s="52"/>
      <x:c r="K255" s="52"/>
    </x:row>
    <x:row r="256">
      <x:c r="A256" s="69" t="str">
        <x:f>IF(234&lt;=$C$11,234,"")</x:f>
      </x:c>
      <x:c r="B256" s="70" t="str">
        <x:f>IF(A256="","",MAX(0,B255-MAX(0,D255-C255)))</x:f>
      </x:c>
      <x:c r="C256" s="70" t="str">
        <x:f>IF(A256="","",MAX(0,C255-D255))</x:f>
      </x:c>
      <x:c r="D256" s="70" t="str">
        <x:f>IF(A256="","",IF($C$17="Capitale costante",$F$6/$C$11,IF(A256=$C$11,$F$6,0)))</x:f>
      </x:c>
      <x:c r="E256" s="70" t="str">
        <x:f>IF(A256="","",B256*$C$9/12+C256*$C$10/12)</x:f>
      </x:c>
      <x:c r="F256" s="70" t="str">
        <x:f>IF(A256="","",D256+E256)</x:f>
      </x:c>
      <x:c r="G256" s="70" t="str">
        <x:f>IF(A256="","",MAX(0,B256+C256-D256))</x:f>
      </x:c>
      <x:c r="H256" s="52"/>
      <x:c r="I256" s="52"/>
      <x:c r="J256" s="52"/>
      <x:c r="K256" s="52"/>
    </x:row>
    <x:row r="257">
      <x:c r="A257" s="69" t="str">
        <x:f>IF(235&lt;=$C$11,235,"")</x:f>
      </x:c>
      <x:c r="B257" s="70" t="str">
        <x:f>IF(A257="","",MAX(0,B256-MAX(0,D256-C256)))</x:f>
      </x:c>
      <x:c r="C257" s="70" t="str">
        <x:f>IF(A257="","",MAX(0,C256-D256))</x:f>
      </x:c>
      <x:c r="D257" s="70" t="str">
        <x:f>IF(A257="","",IF($C$17="Capitale costante",$F$6/$C$11,IF(A257=$C$11,$F$6,0)))</x:f>
      </x:c>
      <x:c r="E257" s="70" t="str">
        <x:f>IF(A257="","",B257*$C$9/12+C257*$C$10/12)</x:f>
      </x:c>
      <x:c r="F257" s="70" t="str">
        <x:f>IF(A257="","",D257+E257)</x:f>
      </x:c>
      <x:c r="G257" s="70" t="str">
        <x:f>IF(A257="","",MAX(0,B257+C257-D257))</x:f>
      </x:c>
      <x:c r="H257" s="52"/>
      <x:c r="I257" s="52"/>
      <x:c r="J257" s="52"/>
      <x:c r="K257" s="52"/>
    </x:row>
    <x:row r="258">
      <x:c r="A258" s="69" t="str">
        <x:f>IF(236&lt;=$C$11,236,"")</x:f>
      </x:c>
      <x:c r="B258" s="70" t="str">
        <x:f>IF(A258="","",MAX(0,B257-MAX(0,D257-C257)))</x:f>
      </x:c>
      <x:c r="C258" s="70" t="str">
        <x:f>IF(A258="","",MAX(0,C257-D257))</x:f>
      </x:c>
      <x:c r="D258" s="70" t="str">
        <x:f>IF(A258="","",IF($C$17="Capitale costante",$F$6/$C$11,IF(A258=$C$11,$F$6,0)))</x:f>
      </x:c>
      <x:c r="E258" s="70" t="str">
        <x:f>IF(A258="","",B258*$C$9/12+C258*$C$10/12)</x:f>
      </x:c>
      <x:c r="F258" s="70" t="str">
        <x:f>IF(A258="","",D258+E258)</x:f>
      </x:c>
      <x:c r="G258" s="70" t="str">
        <x:f>IF(A258="","",MAX(0,B258+C258-D258))</x:f>
      </x:c>
      <x:c r="H258" s="52"/>
      <x:c r="I258" s="52"/>
      <x:c r="J258" s="52"/>
      <x:c r="K258" s="52"/>
    </x:row>
    <x:row r="259">
      <x:c r="A259" s="69" t="str">
        <x:f>IF(237&lt;=$C$11,237,"")</x:f>
      </x:c>
      <x:c r="B259" s="70" t="str">
        <x:f>IF(A259="","",MAX(0,B258-MAX(0,D258-C258)))</x:f>
      </x:c>
      <x:c r="C259" s="70" t="str">
        <x:f>IF(A259="","",MAX(0,C258-D258))</x:f>
      </x:c>
      <x:c r="D259" s="70" t="str">
        <x:f>IF(A259="","",IF($C$17="Capitale costante",$F$6/$C$11,IF(A259=$C$11,$F$6,0)))</x:f>
      </x:c>
      <x:c r="E259" s="70" t="str">
        <x:f>IF(A259="","",B259*$C$9/12+C259*$C$10/12)</x:f>
      </x:c>
      <x:c r="F259" s="70" t="str">
        <x:f>IF(A259="","",D259+E259)</x:f>
      </x:c>
      <x:c r="G259" s="70" t="str">
        <x:f>IF(A259="","",MAX(0,B259+C259-D259))</x:f>
      </x:c>
      <x:c r="H259" s="52"/>
      <x:c r="I259" s="52"/>
      <x:c r="J259" s="52"/>
      <x:c r="K259" s="52"/>
    </x:row>
    <x:row r="260">
      <x:c r="A260" s="69" t="str">
        <x:f>IF(238&lt;=$C$11,238,"")</x:f>
      </x:c>
      <x:c r="B260" s="70" t="str">
        <x:f>IF(A260="","",MAX(0,B259-MAX(0,D259-C259)))</x:f>
      </x:c>
      <x:c r="C260" s="70" t="str">
        <x:f>IF(A260="","",MAX(0,C259-D259))</x:f>
      </x:c>
      <x:c r="D260" s="70" t="str">
        <x:f>IF(A260="","",IF($C$17="Capitale costante",$F$6/$C$11,IF(A260=$C$11,$F$6,0)))</x:f>
      </x:c>
      <x:c r="E260" s="70" t="str">
        <x:f>IF(A260="","",B260*$C$9/12+C260*$C$10/12)</x:f>
      </x:c>
      <x:c r="F260" s="70" t="str">
        <x:f>IF(A260="","",D260+E260)</x:f>
      </x:c>
      <x:c r="G260" s="70" t="str">
        <x:f>IF(A260="","",MAX(0,B260+C260-D260))</x:f>
      </x:c>
      <x:c r="H260" s="52"/>
      <x:c r="I260" s="52"/>
      <x:c r="J260" s="52"/>
      <x:c r="K260" s="52"/>
    </x:row>
    <x:row r="261">
      <x:c r="A261" s="69" t="str">
        <x:f>IF(239&lt;=$C$11,239,"")</x:f>
      </x:c>
      <x:c r="B261" s="70" t="str">
        <x:f>IF(A261="","",MAX(0,B260-MAX(0,D260-C260)))</x:f>
      </x:c>
      <x:c r="C261" s="70" t="str">
        <x:f>IF(A261="","",MAX(0,C260-D260))</x:f>
      </x:c>
      <x:c r="D261" s="70" t="str">
        <x:f>IF(A261="","",IF($C$17="Capitale costante",$F$6/$C$11,IF(A261=$C$11,$F$6,0)))</x:f>
      </x:c>
      <x:c r="E261" s="70" t="str">
        <x:f>IF(A261="","",B261*$C$9/12+C261*$C$10/12)</x:f>
      </x:c>
      <x:c r="F261" s="70" t="str">
        <x:f>IF(A261="","",D261+E261)</x:f>
      </x:c>
      <x:c r="G261" s="70" t="str">
        <x:f>IF(A261="","",MAX(0,B261+C261-D261))</x:f>
      </x:c>
      <x:c r="H261" s="52"/>
      <x:c r="I261" s="52"/>
      <x:c r="J261" s="52"/>
      <x:c r="K261" s="52"/>
    </x:row>
    <x:row r="262">
      <x:c r="A262" s="69" t="str">
        <x:f>IF(240&lt;=$C$11,240,"")</x:f>
      </x:c>
      <x:c r="B262" s="70" t="str">
        <x:f>IF(A262="","",MAX(0,B261-MAX(0,D261-C261)))</x:f>
      </x:c>
      <x:c r="C262" s="70" t="str">
        <x:f>IF(A262="","",MAX(0,C261-D261))</x:f>
      </x:c>
      <x:c r="D262" s="70" t="str">
        <x:f>IF(A262="","",IF($C$17="Capitale costante",$F$6/$C$11,IF(A262=$C$11,$F$6,0)))</x:f>
      </x:c>
      <x:c r="E262" s="70" t="str">
        <x:f>IF(A262="","",B262*$C$9/12+C262*$C$10/12)</x:f>
      </x:c>
      <x:c r="F262" s="70" t="str">
        <x:f>IF(A262="","",D262+E262)</x:f>
      </x:c>
      <x:c r="G262" s="70" t="str">
        <x:f>IF(A262="","",MAX(0,B262+C262-D262))</x:f>
      </x:c>
      <x:c r="H262" s="52"/>
      <x:c r="I262" s="52"/>
      <x:c r="J262" s="52"/>
      <x:c r="K262" s="52"/>
    </x:row>
  </x:sheetData>
  <x:mergeCells>
    <x:mergeCell ref="B2:G2"/>
    <x:mergeCell ref="B3:G3"/>
    <x:mergeCell ref="B20:G20"/>
    <x:mergeCell ref="I5:K5"/>
    <x:mergeCell ref="I6:K10"/>
    <x:mergeCell ref="I12:K12"/>
    <x:mergeCell ref="I13:K15"/>
  </x:mergeCells>
  <x:dataValidations count="2">
    <x:dataValidation type="whole" operator="between" sqref="C11:C12">
      <x:formula1>1</x:formula1>
      <x:formula2>240</x:formula2>
    </x:dataValidation>
    <x:dataValidation type="list" sqref="C17">
      <x:formula1>"Capitale costante,Rimborso finale"</x:formula1>
    </x:dataValidation>
  </x:dataValidations>
  <x:pageMargins left="0.7" right="0.7" top="0.75" bottom="0.75" header="0.3" footer="0.3"/>
</x:worksheet>
</file>